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21" windowWidth="9345" windowHeight="8475" tabRatio="788" activeTab="0"/>
  </bookViews>
  <sheets>
    <sheet name="CARAT" sheetId="1" r:id="rId1"/>
    <sheet name="A.GASTOS" sheetId="2" r:id="rId2"/>
    <sheet name="A.RTDOS" sheetId="3" r:id="rId3"/>
    <sheet name="E.RESUL" sheetId="4" r:id="rId4"/>
    <sheet name="E.E.P.N." sheetId="5" r:id="rId5"/>
    <sheet name="A.BS.USO" sheetId="6" r:id="rId6"/>
    <sheet name="E.S.P." sheetId="7" r:id="rId7"/>
    <sheet name="EFE" sheetId="8" r:id="rId8"/>
  </sheets>
  <definedNames>
    <definedName name="_xlnm.Print_Area" localSheetId="1">'A.GASTOS'!$A$1:$K$60</definedName>
    <definedName name="_xlnm.Print_Area" localSheetId="0">'CARAT'!$A$1:$F$30</definedName>
    <definedName name="_xlnm.Print_Area" localSheetId="7">'EFE'!$A$1:$E$63</definedName>
  </definedNames>
  <calcPr fullCalcOnLoad="1"/>
</workbook>
</file>

<file path=xl/comments8.xml><?xml version="1.0" encoding="utf-8"?>
<comments xmlns="http://schemas.openxmlformats.org/spreadsheetml/2006/main">
  <authors>
    <author>FERNANDO CASALS</author>
  </authors>
  <commentList>
    <comment ref="D26" authorId="0">
      <text>
        <r>
          <rPr>
            <b/>
            <sz val="8"/>
            <rFont val="Tahoma"/>
            <family val="0"/>
          </rPr>
          <t>REMUNERAC.
CARGAS FISCALES</t>
        </r>
      </text>
    </comment>
  </commentList>
</comments>
</file>

<file path=xl/sharedStrings.xml><?xml version="1.0" encoding="utf-8"?>
<sst xmlns="http://schemas.openxmlformats.org/spreadsheetml/2006/main" count="240" uniqueCount="204">
  <si>
    <t>COMPOSICION DEL CAPITAL</t>
  </si>
  <si>
    <t>CANTIDAD</t>
  </si>
  <si>
    <t>TIPO</t>
  </si>
  <si>
    <t>SUSCRIPTO</t>
  </si>
  <si>
    <t>INTEGRADO</t>
  </si>
  <si>
    <t>CUOTAS</t>
  </si>
  <si>
    <t>ACTIVO</t>
  </si>
  <si>
    <t>$</t>
  </si>
  <si>
    <t>ACTIVO CORRIENTE</t>
  </si>
  <si>
    <t>PASIVO CORRIENTE</t>
  </si>
  <si>
    <t>Otros Activos</t>
  </si>
  <si>
    <t xml:space="preserve">Previsiones </t>
  </si>
  <si>
    <t>TOTAL ACTIVO CORRIENTE</t>
  </si>
  <si>
    <t>TOTAL PASIVO CORRIENTE</t>
  </si>
  <si>
    <t>ACTIVO NO CORRIENTE</t>
  </si>
  <si>
    <t>PASIVO NO CORRIENTE</t>
  </si>
  <si>
    <t>TOTAL DEL PASIVO</t>
  </si>
  <si>
    <t>TOTAL ACTIVO NO CTE.</t>
  </si>
  <si>
    <t>P.NETO (s/ Est. respectivo)</t>
  </si>
  <si>
    <t>TOTAL ACTIVO</t>
  </si>
  <si>
    <t>TOTAL</t>
  </si>
  <si>
    <t xml:space="preserve">$ </t>
  </si>
  <si>
    <t>GANANCIA (PERDIDA) DEL EJERCICIO</t>
  </si>
  <si>
    <t>ESTADO DE EVOLUCION DEL PATRIMONIO NETO.</t>
  </si>
  <si>
    <t>APORTES DE LOS PROPIETARIOS</t>
  </si>
  <si>
    <t>GANANCIAS RESEVADAS</t>
  </si>
  <si>
    <t>CONCEPTOS</t>
  </si>
  <si>
    <t>CAPITAL SUSCRIPTO</t>
  </si>
  <si>
    <t>AJUSTE DE CAPITAL</t>
  </si>
  <si>
    <t>RESERVA LEGAL</t>
  </si>
  <si>
    <t>OTRAS RESERVAS</t>
  </si>
  <si>
    <t>SALDOS AL INICIO DEL EJERCICIO</t>
  </si>
  <si>
    <t>A RESERVA LEGAL</t>
  </si>
  <si>
    <t>SALDOS AL CIERRE DEL EJERCICIO.........................</t>
  </si>
  <si>
    <t>BIENES DE USO.</t>
  </si>
  <si>
    <t>VALORES SIN DEPRECIACION</t>
  </si>
  <si>
    <t>DEPRECIACIONES</t>
  </si>
  <si>
    <t>VALOR</t>
  </si>
  <si>
    <t>CONCEPTO</t>
  </si>
  <si>
    <t>Al inicio de Ejercicio</t>
  </si>
  <si>
    <t>Incorporaciones</t>
  </si>
  <si>
    <t>Bajas</t>
  </si>
  <si>
    <t>Reval. Técnico</t>
  </si>
  <si>
    <t>Transfe-rencias</t>
  </si>
  <si>
    <t>Al cierre del Ejercicio</t>
  </si>
  <si>
    <t>Acum. al inicio del Ejercicio</t>
  </si>
  <si>
    <t>Del Ejercicio</t>
  </si>
  <si>
    <t>Acum.al cierre del Ejercicio</t>
  </si>
  <si>
    <t>Muebles y Utiles</t>
  </si>
  <si>
    <t>TOTALES</t>
  </si>
  <si>
    <t>GASTOS DE ADMINISTRA- CION.</t>
  </si>
  <si>
    <t>GASTOS DE COMERCIALI- ZACION.</t>
  </si>
  <si>
    <t>%</t>
  </si>
  <si>
    <t>IMPORTE</t>
  </si>
  <si>
    <t>TOTALES...........</t>
  </si>
  <si>
    <t xml:space="preserve">MAS: </t>
  </si>
  <si>
    <t>Compras</t>
  </si>
  <si>
    <t>SUBTOTAL</t>
  </si>
  <si>
    <t>MENOS:</t>
  </si>
  <si>
    <t>Existencia Final de Bs. de Cambio</t>
  </si>
  <si>
    <t>PASIVO</t>
  </si>
  <si>
    <t>FIRMADO A EFECTOS DE IDENTIFICACION CON INFORME DE AUDITORIA.</t>
  </si>
  <si>
    <t xml:space="preserve">TOTAL EJERCICIO </t>
  </si>
  <si>
    <t>Rodados</t>
  </si>
  <si>
    <t>TOTAL PASIVO NO CTE.</t>
  </si>
  <si>
    <t>ASIGNACION DE RESULTADOS :</t>
  </si>
  <si>
    <t>ESTADOS CONTABLES EXPRESADOS EN PESOS</t>
  </si>
  <si>
    <t xml:space="preserve">ESTADO DE RESULTADOS. </t>
  </si>
  <si>
    <t>PATRIMONIO NETO 2002</t>
  </si>
  <si>
    <t>COMPARATIVO CON EL EJERCICIO ANTERIOR EN MONEDA DE PODER ADQUISITIVO DE CIERRE.</t>
  </si>
  <si>
    <t>Información requerida por el Art. 64 inc. b) de la Ley 19.550</t>
  </si>
  <si>
    <t>GASTOS OPERATIVOS POR FUNCIONES Y OTROS GASTOS</t>
  </si>
  <si>
    <t>CIERRE EJERCICIO</t>
  </si>
  <si>
    <t>DEL EJERCICIO</t>
  </si>
  <si>
    <t>RESULTADOS NO ASIGNADOS</t>
  </si>
  <si>
    <t>TOTAL PATRIMONIO NETO AL CIERRE DEL EJERC.</t>
  </si>
  <si>
    <t>COSTO BS. DE CAMBIO VENDIDOS</t>
  </si>
  <si>
    <t>ANEXO  I</t>
  </si>
  <si>
    <t>ANEXO II</t>
  </si>
  <si>
    <t>ANEXO III</t>
  </si>
  <si>
    <t>Otros Créditos (Nota ..)</t>
  </si>
  <si>
    <t>Bienes de Cambio (Nota ..)</t>
  </si>
  <si>
    <t>Inversiones Temporarias (Anexo ...Nota ...)</t>
  </si>
  <si>
    <t>Créditos por Ventas (Nota ….)</t>
  </si>
  <si>
    <t>Participac. Perman. en Soc. (Anexo ..Nota ..)</t>
  </si>
  <si>
    <t>Otras Inversiones (Anexo ..Nota ..)</t>
  </si>
  <si>
    <t>Activos Intangibles (Nota ….)</t>
  </si>
  <si>
    <t>Otros Activos (Nota …)</t>
  </si>
  <si>
    <t>Prestamos (Nota ..)</t>
  </si>
  <si>
    <t>Deudas</t>
  </si>
  <si>
    <t>Anticipos de Clientes (Nota …)</t>
  </si>
  <si>
    <t>Total deudas</t>
  </si>
  <si>
    <t>Resultado por valuación Bs. Cb. a V.N.R. (Nota …)</t>
  </si>
  <si>
    <t>Otros Gastos (Anexo …)</t>
  </si>
  <si>
    <t>Resultado de Inversiones en Entes Relacionados (Nota …)</t>
  </si>
  <si>
    <t>Otros Ingresos y Egresos (Nota ...)</t>
  </si>
  <si>
    <t>Ganancia (Pérdida) de las Operaciones Ordinaria</t>
  </si>
  <si>
    <t>Resultados de las Operaciones Extraordinarias (Nota …)</t>
  </si>
  <si>
    <t>RESULTADOS ACUMULADOS</t>
  </si>
  <si>
    <t>RESULTADOS DIFERIDOS</t>
  </si>
  <si>
    <t>SALDOS AL INICIO MODIFICADO</t>
  </si>
  <si>
    <t>CAPITALIZACION  DE APORTES IRREVOCABLES</t>
  </si>
  <si>
    <t>A DISTRIBUCION DE UTILIDADES EN EFECTIVO</t>
  </si>
  <si>
    <t>A DIVIDENDOS EN ACCIONES</t>
  </si>
  <si>
    <t>ABSORCION DE PERDIDAS ACUMULADAS</t>
  </si>
  <si>
    <t>APORTES IRREVOCA  BLES</t>
  </si>
  <si>
    <t>Existencia inicial Bs. de Cambio</t>
  </si>
  <si>
    <t>FECHA INSCRIPCION  R.P.C. DE MODIFICACIONES AL CONTRATO SOCIAL: - - - - - - - -</t>
  </si>
  <si>
    <t>DETERMINACION DEL COSTO DE VENTAS</t>
  </si>
  <si>
    <t>Ventas Netas de Bienes  y Servicios</t>
  </si>
  <si>
    <t>Amortizaciones Bs. De Uso</t>
  </si>
  <si>
    <t>GASTOS DE  FINANCIACION.</t>
  </si>
  <si>
    <t>Honorarios Profesionales</t>
  </si>
  <si>
    <t>Gastos de Administración (Anexo III)</t>
  </si>
  <si>
    <t>Gastos de Comercialización (Anexo III)</t>
  </si>
  <si>
    <t xml:space="preserve">Ganancia (Pérdida) Antes de Impuesto </t>
  </si>
  <si>
    <t>ESTADO DE FLUJO DE EFECTIVO (Método indirecto)</t>
  </si>
  <si>
    <t>EJERCICIO</t>
  </si>
  <si>
    <t>Variaciones del efectivo</t>
  </si>
  <si>
    <t>Actual</t>
  </si>
  <si>
    <t xml:space="preserve">Efectivo al inicio del ejercicio </t>
  </si>
  <si>
    <t>Modificación de ejercicios anteriores (Nota ....)</t>
  </si>
  <si>
    <t>Efectivo modificado al inicio del ejercicio (Nota ...)</t>
  </si>
  <si>
    <t>Aumento (Disminución) neta del efectivo</t>
  </si>
  <si>
    <t>Causas de las variaciones del efectivo</t>
  </si>
  <si>
    <t>Actividades operativas</t>
  </si>
  <si>
    <t>Ganancia (Pérdida) ordinaria del ejercicio</t>
  </si>
  <si>
    <t xml:space="preserve">Más (Menos) Intereses ganados y perdidos, dividendos ganados e impuesto a las ganancias devengados en el ejercicio </t>
  </si>
  <si>
    <t>Ajustes para arribar al flujo neto de efectivo  proveniente de las actividades operativas:</t>
  </si>
  <si>
    <t>Depreciación de bienes de uso y activos intangibles</t>
  </si>
  <si>
    <t>Resultados de inversiones en entes relacionados</t>
  </si>
  <si>
    <t>Resultado por venta de bienes de uso</t>
  </si>
  <si>
    <t>Baja bienes de uso por deterioro</t>
  </si>
  <si>
    <t>Otros resultados no relacionados con flujos de efectivo</t>
  </si>
  <si>
    <t>Cambios en activos y pasivos operativos:</t>
  </si>
  <si>
    <t>(Aumento) Disminución  en créditos por ventas</t>
  </si>
  <si>
    <t>(Aumento) Disminución en otros créditos</t>
  </si>
  <si>
    <t>(Aumento) Disminución en bienes de cambio</t>
  </si>
  <si>
    <t>Aumento (Disminución) en otras deudas</t>
  </si>
  <si>
    <t>Aumento (Disminución) en deudas comerciales</t>
  </si>
  <si>
    <t xml:space="preserve">Flujo neto de efectivo generado (utilizado) antes de las operaciones extraordinarias </t>
  </si>
  <si>
    <t>Ganancia (pérdida) extraordinaria del ejercicio</t>
  </si>
  <si>
    <t>Ajustes para arribar al flujo neto de efectivo  proveniente de las actividades extraordinarias:</t>
  </si>
  <si>
    <t xml:space="preserve">             Valor residual de activos dados de baja por siniestro</t>
  </si>
  <si>
    <t xml:space="preserve">             Resultados devengados en el ejercicio y no cobrados</t>
  </si>
  <si>
    <t xml:space="preserve">                   Resultados cobrados en el ejercicio y devengados en ejercicios anteriores</t>
  </si>
  <si>
    <t>Flujo neto de efectivo generado por (utilizado en)  las actividades operativas</t>
  </si>
  <si>
    <t>Cobros por ventas de bienes de uso</t>
  </si>
  <si>
    <t>Pagos por compras de bienes de uso</t>
  </si>
  <si>
    <t>Pagos por compra de la Compañía XX</t>
  </si>
  <si>
    <t>……………..</t>
  </si>
  <si>
    <t>Flujo neto de efectivo generado por (utilizado en)  las actividades de inversión</t>
  </si>
  <si>
    <t>Cobros por la emisión de obligaciones negociables</t>
  </si>
  <si>
    <t>Cobros de Prestamos</t>
  </si>
  <si>
    <t>Aportes en efectivo de los propietarios</t>
  </si>
  <si>
    <t>Pagos de préstamos</t>
  </si>
  <si>
    <t>Flujo neto de efectivo generado por (utilizado en)  las actividades de financiación</t>
  </si>
  <si>
    <r>
      <t xml:space="preserve">Pagos de intereses </t>
    </r>
    <r>
      <rPr>
        <vertAlign val="superscript"/>
        <sz val="8"/>
        <rFont val="Arial"/>
        <family val="2"/>
      </rPr>
      <t>2</t>
    </r>
  </si>
  <si>
    <r>
      <t xml:space="preserve">Pagos de impuesto a las ganancias </t>
    </r>
    <r>
      <rPr>
        <vertAlign val="superscript"/>
        <sz val="8"/>
        <rFont val="Arial"/>
        <family val="2"/>
      </rPr>
      <t>3</t>
    </r>
  </si>
  <si>
    <r>
      <t xml:space="preserve">Cobros de dividendos </t>
    </r>
    <r>
      <rPr>
        <vertAlign val="superscript"/>
        <sz val="8"/>
        <rFont val="Arial"/>
        <family val="2"/>
      </rPr>
      <t>4</t>
    </r>
  </si>
  <si>
    <r>
      <t xml:space="preserve">Pagos de dividendos </t>
    </r>
    <r>
      <rPr>
        <vertAlign val="superscript"/>
        <sz val="8"/>
        <rFont val="Arial"/>
        <family val="2"/>
      </rPr>
      <t>2</t>
    </r>
  </si>
  <si>
    <r>
      <t xml:space="preserve">Cobros de intereses </t>
    </r>
    <r>
      <rPr>
        <vertAlign val="superscript"/>
        <sz val="8"/>
        <rFont val="Arial"/>
        <family val="2"/>
      </rPr>
      <t>4</t>
    </r>
  </si>
  <si>
    <r>
      <t>Flujo neto de efectivo generado por (utilizado en) las actividades extraordinarias</t>
    </r>
    <r>
      <rPr>
        <b/>
        <u val="single"/>
        <vertAlign val="superscript"/>
        <sz val="8"/>
        <rFont val="Arial"/>
        <family val="2"/>
      </rPr>
      <t>5</t>
    </r>
  </si>
  <si>
    <r>
      <t xml:space="preserve">Actividades de inversión </t>
    </r>
    <r>
      <rPr>
        <b/>
        <u val="single"/>
        <vertAlign val="superscript"/>
        <sz val="8"/>
        <rFont val="Arial"/>
        <family val="2"/>
      </rPr>
      <t>6</t>
    </r>
  </si>
  <si>
    <r>
      <t xml:space="preserve">Actividades de financiación </t>
    </r>
    <r>
      <rPr>
        <b/>
        <u val="single"/>
        <vertAlign val="superscript"/>
        <sz val="8"/>
        <rFont val="Arial"/>
        <family val="2"/>
      </rPr>
      <t>6</t>
    </r>
  </si>
  <si>
    <r>
      <t>Aumento (Disminución) neta del efectivo</t>
    </r>
    <r>
      <rPr>
        <b/>
        <sz val="14"/>
        <rFont val="Arial"/>
        <family val="2"/>
      </rPr>
      <t xml:space="preserve"> </t>
    </r>
  </si>
  <si>
    <t>Cargas Fiscales (Nota ...)</t>
  </si>
  <si>
    <t>Impuesto a las Ganancias</t>
  </si>
  <si>
    <t>SUSCRIPCION DE CUOTAS</t>
  </si>
  <si>
    <t>Otros Créditos (Nota ...)</t>
  </si>
  <si>
    <t>Remuneraciones y C.Soc. (Nota ...)</t>
  </si>
  <si>
    <t>Otras (Nota ...)</t>
  </si>
  <si>
    <t>Caja y Bancos (Nota 2)</t>
  </si>
  <si>
    <t>SALDO DE REMEDICIÓN R.T. 48</t>
  </si>
  <si>
    <t>EL REGRESO S.R.L.</t>
  </si>
  <si>
    <t>EJERCICIO ANUAL Nº XX</t>
  </si>
  <si>
    <t>(AJUSTADOS POR CAMBIOS EN EL PODER ADQUISITIVO DE LA MONEDA)</t>
  </si>
  <si>
    <t>ACTIVIDAD PRINCIPAL:  …………………………....</t>
  </si>
  <si>
    <t>DOMICILIO LEGAL:  ……….... V.MERCEDES SAN LUIS.</t>
  </si>
  <si>
    <t>INSCRIPCION EN EL R.P.C. DE V.MERCEDES (S.L.) AL TOMO XIX F.152/58 EL ... DE ……….. DE 20..</t>
  </si>
  <si>
    <t>FECHA DE VENCIMIENTO DEL CONTR. SOCIAL: ../../….</t>
  </si>
  <si>
    <t>Créditos por Ventas (Nota 3)</t>
  </si>
  <si>
    <t>Bienes de Cambio (Nota 4)</t>
  </si>
  <si>
    <t>Bienes de Uso (Anexo I Nota 5)</t>
  </si>
  <si>
    <t>Comerciales (Nota 6)</t>
  </si>
  <si>
    <t>Dividendos a Pagar (Nota 7)</t>
  </si>
  <si>
    <t>Efectivo al cierre del ejercicio (Nota 8)</t>
  </si>
  <si>
    <t>Costo de los Bienes Vendidos y Servicios Prestados (Anexo II)</t>
  </si>
  <si>
    <t xml:space="preserve">Resultados Financieros y por Tenencia (incluido el R.E.C.P.A.M.) </t>
  </si>
  <si>
    <t>CIERRE EJERC. ANTERIOR</t>
  </si>
  <si>
    <t>MODIFICACIONES DEL SALDO (Nota 1)</t>
  </si>
  <si>
    <t>INICIADO EL: 01/01/2019</t>
  </si>
  <si>
    <t>FINALIZADO EL: 31/12/2019</t>
  </si>
  <si>
    <t>EJERCICIO ANUAL FINALIZADO EL 31/12/2019</t>
  </si>
  <si>
    <t>Por el ejercicio finalizado el 31/12/2019</t>
  </si>
  <si>
    <t>ESTADO DE SITUACION PATRIMONIAL (O BALANCE GENERAL)  AL 31/12/2019</t>
  </si>
  <si>
    <t>TOTAL EJERCICIO ANTERIOR</t>
  </si>
  <si>
    <t>DEL EJERCICIO ANTERIOR</t>
  </si>
  <si>
    <t>TOTAL PATRIMONIO NETO AL CIERRE DEL EJERC. ANTERIOR</t>
  </si>
  <si>
    <t xml:space="preserve">Anterior </t>
  </si>
  <si>
    <t xml:space="preserve">Resultados por Tenencia </t>
  </si>
  <si>
    <t>RESIDUAL AL CIERE DEL EJERC.</t>
  </si>
  <si>
    <t>RESIDUAL AL CIERE DEL EJERC. ANT</t>
  </si>
  <si>
    <t>Composición y Evolución durante el ejercicio finalizado el 31/12/2019, comparativo con el ejercicio anterior.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</si>
</sst>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.00;\(#,###.00\)"/>
    <numFmt numFmtId="181" formatCode="\$#,###.00;\$\(#,###.00\)"/>
    <numFmt numFmtId="182" formatCode="0.00_);\(0.00\)"/>
    <numFmt numFmtId="183" formatCode="0.0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&quot;$&quot;\ #,##0.00"/>
    <numFmt numFmtId="189" formatCode="&quot;$&quot;\ #,##0_);\(&quot;$&quot;\ #,##0\)"/>
    <numFmt numFmtId="190" formatCode="&quot;$&quot;\ #,##0_);[Red]\(&quot;$&quot;\ #,##0\)"/>
    <numFmt numFmtId="191" formatCode="&quot;$&quot;\ #,##0.00_);\(&quot;$&quot;\ #,##0.00\)"/>
    <numFmt numFmtId="192" formatCode="&quot;$&quot;\ #,##0.00_);[Red]\(&quot;$&quot;\ #,##0.00\)"/>
    <numFmt numFmtId="193" formatCode="_(&quot;$&quot;\ * #,##0_);_(&quot;$&quot;\ * \(#,##0\);_(&quot;$&quot;\ * &quot;-&quot;_);_(@_)"/>
    <numFmt numFmtId="194" formatCode="_(&quot;$&quot;\ * #,##0.00_);_(&quot;$&quot;\ * \(#,##0.00\);_(&quot;$&quot;\ 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8"/>
      <name val="Arial"/>
      <family val="0"/>
    </font>
    <font>
      <sz val="12"/>
      <name val="Arial"/>
      <family val="2"/>
    </font>
    <font>
      <b/>
      <sz val="20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6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u val="single"/>
      <vertAlign val="superscript"/>
      <sz val="8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 horizontal="centerContinuous"/>
    </xf>
    <xf numFmtId="180" fontId="0" fillId="0" borderId="12" xfId="0" applyNumberFormat="1" applyFill="1" applyBorder="1" applyAlignment="1" quotePrefix="1">
      <alignment horizontal="center"/>
    </xf>
    <xf numFmtId="18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80" fontId="1" fillId="0" borderId="0" xfId="0" applyNumberFormat="1" applyFont="1" applyFill="1" applyBorder="1" applyAlignment="1" quotePrefix="1">
      <alignment horizontal="fill"/>
    </xf>
    <xf numFmtId="180" fontId="0" fillId="0" borderId="14" xfId="0" applyNumberFormat="1" applyFill="1" applyBorder="1" applyAlignment="1">
      <alignment horizontal="centerContinuous" vertical="center"/>
    </xf>
    <xf numFmtId="180" fontId="0" fillId="0" borderId="15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top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 horizontal="centerContinuous" vertical="top" wrapText="1"/>
    </xf>
    <xf numFmtId="0" fontId="1" fillId="0" borderId="24" xfId="0" applyFont="1" applyBorder="1" applyAlignment="1">
      <alignment horizontal="centerContinuous" vertical="top" wrapText="1"/>
    </xf>
    <xf numFmtId="0" fontId="1" fillId="0" borderId="25" xfId="0" applyFont="1" applyBorder="1" applyAlignment="1">
      <alignment horizontal="centerContinuous" vertical="top" wrapText="1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 quotePrefix="1">
      <alignment horizontal="centerContinuous" vertical="top" wrapText="1"/>
    </xf>
    <xf numFmtId="0" fontId="14" fillId="0" borderId="27" xfId="0" applyFont="1" applyBorder="1" applyAlignment="1">
      <alignment horizontal="centerContinuous" vertical="top" wrapText="1"/>
    </xf>
    <xf numFmtId="0" fontId="14" fillId="0" borderId="27" xfId="0" applyFont="1" applyBorder="1" applyAlignment="1">
      <alignment horizontal="centerContinuous" vertical="center" wrapText="1"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180" fontId="14" fillId="0" borderId="0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0" fontId="14" fillId="0" borderId="13" xfId="0" applyFont="1" applyBorder="1" applyAlignment="1" quotePrefix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 vertical="top"/>
    </xf>
    <xf numFmtId="0" fontId="0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 quotePrefix="1">
      <alignment horizontal="left" wrapText="1"/>
    </xf>
    <xf numFmtId="0" fontId="6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27" xfId="0" applyFont="1" applyFill="1" applyBorder="1" applyAlignment="1">
      <alignment horizontal="centerContinuous" vertical="top" wrapText="1"/>
    </xf>
    <xf numFmtId="180" fontId="0" fillId="0" borderId="13" xfId="0" applyNumberFormat="1" applyFill="1" applyBorder="1" applyAlignment="1">
      <alignment horizontal="centerContinuous"/>
    </xf>
    <xf numFmtId="0" fontId="10" fillId="0" borderId="22" xfId="0" applyFont="1" applyFill="1" applyBorder="1" applyAlignment="1">
      <alignment horizontal="centerContinuous" vertical="center" wrapText="1"/>
    </xf>
    <xf numFmtId="180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 horizontal="centerContinuous"/>
    </xf>
    <xf numFmtId="180" fontId="0" fillId="0" borderId="31" xfId="0" applyNumberFormat="1" applyFill="1" applyBorder="1" applyAlignment="1">
      <alignment horizontal="centerContinuous"/>
    </xf>
    <xf numFmtId="180" fontId="0" fillId="0" borderId="30" xfId="0" applyNumberFormat="1" applyFill="1" applyBorder="1" applyAlignment="1">
      <alignment horizontal="centerContinuous" vertic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Continuous" vertical="justify"/>
    </xf>
    <xf numFmtId="0" fontId="1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3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0" xfId="0" applyFont="1" applyFill="1" applyBorder="1" applyAlignment="1">
      <alignment horizontal="centerContinuous" vertical="justify"/>
    </xf>
    <xf numFmtId="0" fontId="0" fillId="0" borderId="33" xfId="0" applyFill="1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2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10" fillId="0" borderId="33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29" xfId="0" applyFill="1" applyBorder="1" applyAlignment="1">
      <alignment horizontal="centerContinuous" vertical="center"/>
    </xf>
    <xf numFmtId="0" fontId="0" fillId="0" borderId="30" xfId="0" applyFill="1" applyBorder="1" applyAlignment="1">
      <alignment horizontal="centerContinuous" vertical="center"/>
    </xf>
    <xf numFmtId="0" fontId="1" fillId="0" borderId="34" xfId="0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35" xfId="0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0" fontId="1" fillId="0" borderId="27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43" fontId="0" fillId="0" borderId="13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6" fillId="0" borderId="13" xfId="0" applyNumberFormat="1" applyFont="1" applyFill="1" applyBorder="1" applyAlignment="1">
      <alignment/>
    </xf>
    <xf numFmtId="43" fontId="0" fillId="0" borderId="13" xfId="0" applyNumberFormat="1" applyFill="1" applyBorder="1" applyAlignment="1" quotePrefix="1">
      <alignment horizontal="fill"/>
    </xf>
    <xf numFmtId="43" fontId="0" fillId="0" borderId="28" xfId="0" applyNumberFormat="1" applyFill="1" applyBorder="1" applyAlignment="1" quotePrefix="1">
      <alignment/>
    </xf>
    <xf numFmtId="43" fontId="0" fillId="0" borderId="13" xfId="0" applyNumberFormat="1" applyFill="1" applyBorder="1" applyAlignment="1" quotePrefix="1">
      <alignment horizontal="left"/>
    </xf>
    <xf numFmtId="43" fontId="0" fillId="0" borderId="28" xfId="0" applyNumberFormat="1" applyFill="1" applyBorder="1" applyAlignment="1">
      <alignment/>
    </xf>
    <xf numFmtId="43" fontId="0" fillId="0" borderId="13" xfId="0" applyNumberFormat="1" applyFont="1" applyFill="1" applyBorder="1" applyAlignment="1" quotePrefix="1">
      <alignment horizontal="left"/>
    </xf>
    <xf numFmtId="43" fontId="1" fillId="0" borderId="37" xfId="0" applyNumberFormat="1" applyFont="1" applyFill="1" applyBorder="1" applyAlignment="1" quotePrefix="1">
      <alignment/>
    </xf>
    <xf numFmtId="43" fontId="0" fillId="0" borderId="10" xfId="0" applyNumberFormat="1" applyFill="1" applyBorder="1" applyAlignment="1" quotePrefix="1">
      <alignment horizontal="fill"/>
    </xf>
    <xf numFmtId="43" fontId="6" fillId="0" borderId="13" xfId="0" applyNumberFormat="1" applyFont="1" applyFill="1" applyBorder="1" applyAlignment="1" quotePrefix="1">
      <alignment horizontal="left"/>
    </xf>
    <xf numFmtId="43" fontId="10" fillId="0" borderId="13" xfId="0" applyNumberFormat="1" applyFon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1" fillId="0" borderId="38" xfId="0" applyNumberFormat="1" applyFont="1" applyFill="1" applyBorder="1" applyAlignment="1" quotePrefix="1">
      <alignment/>
    </xf>
    <xf numFmtId="43" fontId="6" fillId="0" borderId="13" xfId="0" applyNumberFormat="1" applyFont="1" applyFill="1" applyBorder="1" applyAlignment="1" quotePrefix="1">
      <alignment horizontal="left"/>
    </xf>
    <xf numFmtId="43" fontId="1" fillId="0" borderId="13" xfId="0" applyNumberFormat="1" applyFont="1" applyFill="1" applyBorder="1" applyAlignment="1" quotePrefix="1">
      <alignment/>
    </xf>
    <xf numFmtId="43" fontId="1" fillId="0" borderId="39" xfId="0" applyNumberFormat="1" applyFont="1" applyFill="1" applyBorder="1" applyAlignment="1" quotePrefix="1">
      <alignment/>
    </xf>
    <xf numFmtId="43" fontId="10" fillId="0" borderId="26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43" fontId="15" fillId="0" borderId="40" xfId="0" applyNumberFormat="1" applyFont="1" applyBorder="1" applyAlignment="1">
      <alignment/>
    </xf>
    <xf numFmtId="43" fontId="15" fillId="0" borderId="40" xfId="0" applyNumberFormat="1" applyFont="1" applyFill="1" applyBorder="1" applyAlignment="1">
      <alignment/>
    </xf>
    <xf numFmtId="0" fontId="0" fillId="0" borderId="28" xfId="0" applyFont="1" applyFill="1" applyBorder="1" applyAlignment="1" quotePrefix="1">
      <alignment horizontal="left" wrapText="1"/>
    </xf>
    <xf numFmtId="43" fontId="14" fillId="0" borderId="41" xfId="0" applyNumberFormat="1" applyFont="1" applyFill="1" applyBorder="1" applyAlignment="1">
      <alignment/>
    </xf>
    <xf numFmtId="43" fontId="15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Fill="1" applyBorder="1" applyAlignment="1" quotePrefix="1">
      <alignment horizontal="left" vertical="center" wrapText="1"/>
    </xf>
    <xf numFmtId="43" fontId="14" fillId="0" borderId="2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/>
    </xf>
    <xf numFmtId="43" fontId="14" fillId="0" borderId="4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32" xfId="0" applyFont="1" applyFill="1" applyBorder="1" applyAlignment="1" quotePrefix="1">
      <alignment horizontal="left"/>
    </xf>
    <xf numFmtId="0" fontId="0" fillId="0" borderId="36" xfId="0" applyFont="1" applyFill="1" applyBorder="1" applyAlignment="1">
      <alignment/>
    </xf>
    <xf numFmtId="0" fontId="1" fillId="0" borderId="27" xfId="0" applyFont="1" applyFill="1" applyBorder="1" applyAlignment="1">
      <alignment horizontal="centerContinuous" vertical="top" wrapText="1"/>
    </xf>
    <xf numFmtId="0" fontId="0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Continuous"/>
    </xf>
    <xf numFmtId="0" fontId="14" fillId="0" borderId="13" xfId="0" applyFont="1" applyFill="1" applyBorder="1" applyAlignment="1" quotePrefix="1">
      <alignment horizontal="left"/>
    </xf>
    <xf numFmtId="0" fontId="14" fillId="0" borderId="13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 horizontal="left"/>
    </xf>
    <xf numFmtId="180" fontId="14" fillId="0" borderId="27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14" fillId="0" borderId="30" xfId="0" applyFont="1" applyFill="1" applyBorder="1" applyAlignment="1">
      <alignment horizontal="centerContinuous" vertical="center"/>
    </xf>
    <xf numFmtId="43" fontId="14" fillId="0" borderId="30" xfId="0" applyNumberFormat="1" applyFont="1" applyFill="1" applyBorder="1" applyAlignment="1">
      <alignment horizontal="centerContinuous" vertical="center"/>
    </xf>
    <xf numFmtId="43" fontId="14" fillId="0" borderId="14" xfId="0" applyNumberFormat="1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/>
    </xf>
    <xf numFmtId="43" fontId="14" fillId="0" borderId="3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28" xfId="0" applyNumberFormat="1" applyFont="1" applyFill="1" applyBorder="1" applyAlignment="1">
      <alignment/>
    </xf>
    <xf numFmtId="43" fontId="0" fillId="33" borderId="13" xfId="0" applyNumberFormat="1" applyFont="1" applyFill="1" applyBorder="1" applyAlignment="1">
      <alignment/>
    </xf>
    <xf numFmtId="43" fontId="0" fillId="0" borderId="42" xfId="0" applyNumberFormat="1" applyFont="1" applyFill="1" applyBorder="1" applyAlignment="1">
      <alignment/>
    </xf>
    <xf numFmtId="43" fontId="1" fillId="0" borderId="2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3" fontId="0" fillId="0" borderId="43" xfId="0" applyNumberFormat="1" applyFill="1" applyBorder="1" applyAlignment="1">
      <alignment/>
    </xf>
    <xf numFmtId="43" fontId="0" fillId="0" borderId="37" xfId="0" applyNumberFormat="1" applyFill="1" applyBorder="1" applyAlignment="1">
      <alignment/>
    </xf>
    <xf numFmtId="180" fontId="0" fillId="0" borderId="22" xfId="0" applyNumberFormat="1" applyFill="1" applyBorder="1" applyAlignment="1">
      <alignment horizontal="centerContinuous"/>
    </xf>
    <xf numFmtId="180" fontId="0" fillId="0" borderId="36" xfId="0" applyNumberFormat="1" applyFill="1" applyBorder="1" applyAlignment="1">
      <alignment/>
    </xf>
    <xf numFmtId="43" fontId="1" fillId="0" borderId="44" xfId="0" applyNumberFormat="1" applyFont="1" applyFill="1" applyBorder="1" applyAlignment="1" quotePrefix="1">
      <alignment/>
    </xf>
    <xf numFmtId="180" fontId="0" fillId="0" borderId="22" xfId="0" applyNumberFormat="1" applyFill="1" applyBorder="1" applyAlignment="1">
      <alignment/>
    </xf>
    <xf numFmtId="43" fontId="1" fillId="0" borderId="45" xfId="0" applyNumberFormat="1" applyFont="1" applyFill="1" applyBorder="1" applyAlignment="1" quotePrefix="1">
      <alignment/>
    </xf>
    <xf numFmtId="0" fontId="0" fillId="0" borderId="10" xfId="0" applyFill="1" applyBorder="1" applyAlignment="1" quotePrefix="1">
      <alignment horizontal="left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 quotePrefix="1">
      <alignment horizontal="left"/>
    </xf>
    <xf numFmtId="0" fontId="10" fillId="0" borderId="26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4" fillId="0" borderId="33" xfId="0" applyFont="1" applyFill="1" applyBorder="1" applyAlignment="1" quotePrefix="1">
      <alignment horizontal="centerContinuous" vertical="top" wrapText="1"/>
    </xf>
    <xf numFmtId="0" fontId="4" fillId="0" borderId="31" xfId="0" applyFont="1" applyFill="1" applyBorder="1" applyAlignment="1">
      <alignment horizontal="centerContinuous" vertical="top" wrapText="1"/>
    </xf>
    <xf numFmtId="0" fontId="4" fillId="0" borderId="11" xfId="0" applyFont="1" applyFill="1" applyBorder="1" applyAlignment="1">
      <alignment horizontal="centerContinuous" vertical="top" wrapText="1"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 quotePrefix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 vertical="top" wrapText="1"/>
    </xf>
    <xf numFmtId="0" fontId="0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27" xfId="0" applyFont="1" applyFill="1" applyBorder="1" applyAlignment="1">
      <alignment horizontal="centerContinuous"/>
    </xf>
    <xf numFmtId="3" fontId="8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88" fontId="8" fillId="0" borderId="2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2" xfId="0" applyFont="1" applyFill="1" applyBorder="1" applyAlignment="1">
      <alignment/>
    </xf>
    <xf numFmtId="180" fontId="1" fillId="0" borderId="23" xfId="0" applyNumberFormat="1" applyFont="1" applyFill="1" applyBorder="1" applyAlignment="1">
      <alignment horizontal="centerContinuous"/>
    </xf>
    <xf numFmtId="180" fontId="1" fillId="0" borderId="24" xfId="0" applyNumberFormat="1" applyFont="1" applyFill="1" applyBorder="1" applyAlignment="1">
      <alignment horizontal="centerContinuous"/>
    </xf>
    <xf numFmtId="180" fontId="0" fillId="0" borderId="25" xfId="0" applyNumberFormat="1" applyFont="1" applyFill="1" applyBorder="1" applyAlignment="1">
      <alignment horizontal="centerContinuous"/>
    </xf>
    <xf numFmtId="0" fontId="12" fillId="0" borderId="13" xfId="0" applyFont="1" applyFill="1" applyBorder="1" applyAlignment="1">
      <alignment/>
    </xf>
    <xf numFmtId="0" fontId="11" fillId="0" borderId="26" xfId="0" applyFont="1" applyFill="1" applyBorder="1" applyAlignment="1">
      <alignment horizontal="centerContinuous" vertical="center" wrapText="1"/>
    </xf>
    <xf numFmtId="180" fontId="12" fillId="0" borderId="27" xfId="0" applyNumberFormat="1" applyFont="1" applyFill="1" applyBorder="1" applyAlignment="1">
      <alignment horizontal="center" vertical="top" wrapText="1"/>
    </xf>
    <xf numFmtId="180" fontId="1" fillId="0" borderId="27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 quotePrefix="1">
      <alignment horizontal="left" vertical="top" wrapText="1"/>
    </xf>
    <xf numFmtId="0" fontId="12" fillId="0" borderId="46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6" xfId="0" applyFont="1" applyFill="1" applyBorder="1" applyAlignment="1" quotePrefix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23" xfId="0" applyFont="1" applyFill="1" applyBorder="1" applyAlignment="1" quotePrefix="1">
      <alignment horizontal="left" vertical="top" wrapText="1"/>
    </xf>
    <xf numFmtId="180" fontId="12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80" fontId="12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43" fontId="0" fillId="0" borderId="13" xfId="0" applyNumberFormat="1" applyFont="1" applyFill="1" applyBorder="1" applyAlignment="1">
      <alignment horizontal="left"/>
    </xf>
    <xf numFmtId="180" fontId="0" fillId="0" borderId="27" xfId="0" applyNumberFormat="1" applyFill="1" applyBorder="1" applyAlignment="1" quotePrefix="1">
      <alignment horizontal="center"/>
    </xf>
    <xf numFmtId="180" fontId="0" fillId="0" borderId="28" xfId="0" applyNumberFormat="1" applyFill="1" applyBorder="1" applyAlignment="1" quotePrefix="1">
      <alignment/>
    </xf>
    <xf numFmtId="180" fontId="0" fillId="0" borderId="12" xfId="0" applyNumberFormat="1" applyFill="1" applyBorder="1" applyAlignment="1">
      <alignment/>
    </xf>
    <xf numFmtId="180" fontId="1" fillId="0" borderId="37" xfId="0" applyNumberFormat="1" applyFont="1" applyFill="1" applyBorder="1" applyAlignment="1" quotePrefix="1">
      <alignment/>
    </xf>
    <xf numFmtId="180" fontId="1" fillId="0" borderId="28" xfId="0" applyNumberFormat="1" applyFont="1" applyFill="1" applyBorder="1" applyAlignment="1" quotePrefix="1">
      <alignment/>
    </xf>
    <xf numFmtId="180" fontId="1" fillId="0" borderId="39" xfId="0" applyNumberFormat="1" applyFont="1" applyFill="1" applyBorder="1" applyAlignment="1" quotePrefix="1">
      <alignment/>
    </xf>
    <xf numFmtId="171" fontId="12" fillId="0" borderId="48" xfId="0" applyNumberFormat="1" applyFont="1" applyFill="1" applyBorder="1" applyAlignment="1">
      <alignment/>
    </xf>
    <xf numFmtId="171" fontId="12" fillId="0" borderId="49" xfId="0" applyNumberFormat="1" applyFont="1" applyFill="1" applyBorder="1" applyAlignment="1">
      <alignment/>
    </xf>
    <xf numFmtId="171" fontId="12" fillId="0" borderId="50" xfId="0" applyNumberFormat="1" applyFont="1" applyFill="1" applyBorder="1" applyAlignment="1">
      <alignment/>
    </xf>
    <xf numFmtId="171" fontId="12" fillId="0" borderId="51" xfId="0" applyNumberFormat="1" applyFont="1" applyFill="1" applyBorder="1" applyAlignment="1">
      <alignment/>
    </xf>
    <xf numFmtId="171" fontId="12" fillId="0" borderId="52" xfId="0" applyNumberFormat="1" applyFont="1" applyFill="1" applyBorder="1" applyAlignment="1">
      <alignment/>
    </xf>
    <xf numFmtId="171" fontId="12" fillId="0" borderId="27" xfId="0" applyNumberFormat="1" applyFont="1" applyFill="1" applyBorder="1" applyAlignment="1">
      <alignment/>
    </xf>
    <xf numFmtId="171" fontId="12" fillId="0" borderId="53" xfId="0" applyNumberFormat="1" applyFont="1" applyFill="1" applyBorder="1" applyAlignment="1">
      <alignment/>
    </xf>
    <xf numFmtId="171" fontId="12" fillId="0" borderId="54" xfId="0" applyNumberFormat="1" applyFont="1" applyFill="1" applyBorder="1" applyAlignment="1">
      <alignment/>
    </xf>
    <xf numFmtId="171" fontId="12" fillId="0" borderId="55" xfId="0" applyNumberFormat="1" applyFont="1" applyFill="1" applyBorder="1" applyAlignment="1">
      <alignment/>
    </xf>
    <xf numFmtId="171" fontId="11" fillId="0" borderId="27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171" fontId="12" fillId="0" borderId="51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43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43" fontId="12" fillId="0" borderId="0" xfId="0" applyNumberFormat="1" applyFont="1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13" fillId="0" borderId="23" xfId="0" applyFont="1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2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71" fontId="14" fillId="0" borderId="10" xfId="0" applyNumberFormat="1" applyFont="1" applyBorder="1" applyAlignment="1">
      <alignment horizontal="left"/>
    </xf>
    <xf numFmtId="171" fontId="14" fillId="0" borderId="0" xfId="0" applyNumberFormat="1" applyFont="1" applyBorder="1" applyAlignment="1">
      <alignment horizontal="left"/>
    </xf>
    <xf numFmtId="171" fontId="14" fillId="0" borderId="12" xfId="0" applyNumberFormat="1" applyFont="1" applyBorder="1" applyAlignment="1">
      <alignment horizontal="left"/>
    </xf>
    <xf numFmtId="171" fontId="0" fillId="0" borderId="56" xfId="0" applyNumberFormat="1" applyBorder="1" applyAlignment="1">
      <alignment horizontal="right"/>
    </xf>
    <xf numFmtId="171" fontId="0" fillId="0" borderId="49" xfId="0" applyNumberFormat="1" applyFill="1" applyBorder="1" applyAlignment="1">
      <alignment horizontal="right"/>
    </xf>
    <xf numFmtId="171" fontId="0" fillId="0" borderId="57" xfId="0" applyNumberFormat="1" applyBorder="1" applyAlignment="1">
      <alignment horizontal="right"/>
    </xf>
    <xf numFmtId="171" fontId="0" fillId="0" borderId="58" xfId="0" applyNumberFormat="1" applyFill="1" applyBorder="1" applyAlignment="1">
      <alignment horizontal="right"/>
    </xf>
    <xf numFmtId="171" fontId="0" fillId="0" borderId="59" xfId="0" applyNumberFormat="1" applyBorder="1" applyAlignment="1">
      <alignment horizontal="right"/>
    </xf>
    <xf numFmtId="171" fontId="0" fillId="0" borderId="60" xfId="0" applyNumberFormat="1" applyBorder="1" applyAlignment="1">
      <alignment horizontal="right"/>
    </xf>
    <xf numFmtId="171" fontId="0" fillId="0" borderId="51" xfId="0" applyNumberFormat="1" applyFill="1" applyBorder="1" applyAlignment="1">
      <alignment horizontal="right"/>
    </xf>
    <xf numFmtId="171" fontId="1" fillId="0" borderId="27" xfId="0" applyNumberFormat="1" applyFont="1" applyBorder="1" applyAlignment="1">
      <alignment horizontal="right"/>
    </xf>
    <xf numFmtId="0" fontId="1" fillId="0" borderId="0" xfId="0" applyFont="1" applyAlignment="1">
      <alignment/>
    </xf>
    <xf numFmtId="171" fontId="0" fillId="0" borderId="61" xfId="0" applyNumberFormat="1" applyBorder="1" applyAlignment="1">
      <alignment horizontal="right"/>
    </xf>
    <xf numFmtId="171" fontId="0" fillId="0" borderId="54" xfId="0" applyNumberFormat="1" applyFill="1" applyBorder="1" applyAlignment="1">
      <alignment horizontal="right"/>
    </xf>
    <xf numFmtId="171" fontId="0" fillId="0" borderId="61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171" fontId="0" fillId="0" borderId="60" xfId="0" applyNumberFormat="1" applyFill="1" applyBorder="1" applyAlignment="1">
      <alignment horizontal="right"/>
    </xf>
    <xf numFmtId="0" fontId="20" fillId="0" borderId="0" xfId="0" applyFont="1" applyAlignment="1">
      <alignment/>
    </xf>
    <xf numFmtId="171" fontId="1" fillId="0" borderId="52" xfId="0" applyNumberFormat="1" applyFont="1" applyFill="1" applyBorder="1" applyAlignment="1">
      <alignment horizontal="right"/>
    </xf>
    <xf numFmtId="171" fontId="1" fillId="0" borderId="27" xfId="0" applyNumberFormat="1" applyFont="1" applyFill="1" applyBorder="1" applyAlignment="1">
      <alignment horizontal="right"/>
    </xf>
    <xf numFmtId="171" fontId="0" fillId="0" borderId="56" xfId="0" applyNumberFormat="1" applyFill="1" applyBorder="1" applyAlignment="1">
      <alignment horizontal="right"/>
    </xf>
    <xf numFmtId="171" fontId="0" fillId="0" borderId="52" xfId="0" applyNumberFormat="1" applyFill="1" applyBorder="1" applyAlignment="1">
      <alignment horizontal="right"/>
    </xf>
    <xf numFmtId="171" fontId="0" fillId="0" borderId="62" xfId="0" applyNumberFormat="1" applyFill="1" applyBorder="1" applyAlignment="1">
      <alignment horizontal="right"/>
    </xf>
    <xf numFmtId="171" fontId="0" fillId="0" borderId="27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71" fontId="0" fillId="0" borderId="12" xfId="0" applyNumberFormat="1" applyBorder="1" applyAlignment="1">
      <alignment/>
    </xf>
    <xf numFmtId="171" fontId="0" fillId="0" borderId="10" xfId="0" applyNumberFormat="1" applyBorder="1" applyAlignment="1">
      <alignment horizontal="left"/>
    </xf>
    <xf numFmtId="171" fontId="0" fillId="0" borderId="10" xfId="0" applyNumberFormat="1" applyFill="1" applyBorder="1" applyAlignment="1">
      <alignment horizontal="centerContinuous" vertical="center"/>
    </xf>
    <xf numFmtId="171" fontId="0" fillId="0" borderId="0" xfId="0" applyNumberFormat="1" applyFill="1" applyBorder="1" applyAlignment="1">
      <alignment horizontal="centerContinuous" vertical="center"/>
    </xf>
    <xf numFmtId="0" fontId="0" fillId="0" borderId="33" xfId="0" applyBorder="1" applyAlignment="1">
      <alignment horizontal="left"/>
    </xf>
    <xf numFmtId="43" fontId="0" fillId="0" borderId="3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3" fontId="0" fillId="0" borderId="0" xfId="0" applyNumberFormat="1" applyFill="1" applyAlignment="1">
      <alignment horizontal="right"/>
    </xf>
    <xf numFmtId="43" fontId="0" fillId="0" borderId="0" xfId="0" applyNumberFormat="1" applyAlignment="1">
      <alignment horizontal="right"/>
    </xf>
    <xf numFmtId="171" fontId="0" fillId="0" borderId="0" xfId="0" applyNumberFormat="1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171" fontId="12" fillId="0" borderId="0" xfId="0" applyNumberFormat="1" applyFont="1" applyFill="1" applyAlignment="1">
      <alignment/>
    </xf>
    <xf numFmtId="43" fontId="22" fillId="0" borderId="0" xfId="0" applyNumberFormat="1" applyFont="1" applyAlignment="1">
      <alignment horizontal="justify"/>
    </xf>
    <xf numFmtId="171" fontId="0" fillId="0" borderId="0" xfId="0" applyNumberFormat="1" applyAlignment="1">
      <alignment/>
    </xf>
    <xf numFmtId="0" fontId="8" fillId="0" borderId="32" xfId="0" applyFont="1" applyBorder="1" applyAlignment="1" quotePrefix="1">
      <alignment horizontal="center"/>
    </xf>
    <xf numFmtId="0" fontId="1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Continuous" vertical="center"/>
    </xf>
    <xf numFmtId="180" fontId="14" fillId="0" borderId="53" xfId="0" applyNumberFormat="1" applyFont="1" applyBorder="1" applyAlignment="1">
      <alignment horizontal="centerContinuous" vertical="center"/>
    </xf>
    <xf numFmtId="180" fontId="15" fillId="0" borderId="53" xfId="0" applyNumberFormat="1" applyFont="1" applyBorder="1" applyAlignment="1">
      <alignment horizontal="centerContinuous" vertical="center"/>
    </xf>
    <xf numFmtId="0" fontId="9" fillId="0" borderId="34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/>
    </xf>
    <xf numFmtId="0" fontId="9" fillId="0" borderId="1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" fillId="0" borderId="10" xfId="0" applyFont="1" applyFill="1" applyBorder="1" applyAlignment="1" quotePrefix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33" xfId="0" applyFont="1" applyFill="1" applyBorder="1" applyAlignment="1" quotePrefix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8" fillId="0" borderId="23" xfId="0" applyFont="1" applyFill="1" applyBorder="1" applyAlignment="1" quotePrefix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23" xfId="0" applyFont="1" applyFill="1" applyBorder="1" applyAlignment="1" quotePrefix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34" xfId="0" applyFont="1" applyFill="1" applyBorder="1" applyAlignment="1" quotePrefix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3" fillId="0" borderId="34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80" fontId="15" fillId="0" borderId="22" xfId="0" applyNumberFormat="1" applyFont="1" applyFill="1" applyBorder="1" applyAlignment="1">
      <alignment horizontal="center" vertical="top" wrapText="1"/>
    </xf>
    <xf numFmtId="180" fontId="15" fillId="0" borderId="13" xfId="0" applyNumberFormat="1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80" fontId="12" fillId="0" borderId="22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180" fontId="12" fillId="0" borderId="26" xfId="0" applyNumberFormat="1" applyFont="1" applyFill="1" applyBorder="1" applyAlignment="1">
      <alignment horizontal="center" vertical="top" wrapText="1"/>
    </xf>
    <xf numFmtId="180" fontId="14" fillId="0" borderId="22" xfId="0" applyNumberFormat="1" applyFont="1" applyFill="1" applyBorder="1" applyAlignment="1">
      <alignment horizontal="center" vertical="top" wrapText="1"/>
    </xf>
    <xf numFmtId="180" fontId="14" fillId="0" borderId="26" xfId="0" applyNumberFormat="1" applyFont="1" applyFill="1" applyBorder="1" applyAlignment="1">
      <alignment horizontal="center" vertical="top" wrapText="1"/>
    </xf>
    <xf numFmtId="180" fontId="1" fillId="0" borderId="22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>
      <alignment horizontal="center" vertical="center" wrapText="1"/>
    </xf>
    <xf numFmtId="180" fontId="11" fillId="0" borderId="33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180" fontId="11" fillId="0" borderId="23" xfId="0" applyNumberFormat="1" applyFont="1" applyFill="1" applyBorder="1" applyAlignment="1">
      <alignment horizontal="center" vertical="top" wrapText="1"/>
    </xf>
    <xf numFmtId="180" fontId="11" fillId="0" borderId="24" xfId="0" applyNumberFormat="1" applyFont="1" applyFill="1" applyBorder="1" applyAlignment="1">
      <alignment horizontal="center" vertical="top" wrapText="1"/>
    </xf>
    <xf numFmtId="180" fontId="11" fillId="0" borderId="25" xfId="0" applyNumberFormat="1" applyFont="1" applyFill="1" applyBorder="1" applyAlignment="1">
      <alignment horizontal="center" vertical="top" wrapText="1"/>
    </xf>
    <xf numFmtId="0" fontId="8" fillId="0" borderId="32" xfId="0" applyFont="1" applyBorder="1" applyAlignment="1" quotePrefix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1" fontId="14" fillId="0" borderId="10" xfId="0" applyNumberFormat="1" applyFont="1" applyBorder="1" applyAlignment="1">
      <alignment horizontal="left"/>
    </xf>
    <xf numFmtId="171" fontId="14" fillId="0" borderId="0" xfId="0" applyNumberFormat="1" applyFont="1" applyBorder="1" applyAlignment="1">
      <alignment horizontal="left"/>
    </xf>
    <xf numFmtId="171" fontId="14" fillId="0" borderId="12" xfId="0" applyNumberFormat="1" applyFont="1" applyBorder="1" applyAlignment="1">
      <alignment horizontal="left"/>
    </xf>
    <xf numFmtId="171" fontId="15" fillId="0" borderId="10" xfId="0" applyNumberFormat="1" applyFont="1" applyBorder="1" applyAlignment="1">
      <alignment horizontal="left"/>
    </xf>
    <xf numFmtId="171" fontId="15" fillId="0" borderId="0" xfId="0" applyNumberFormat="1" applyFont="1" applyBorder="1" applyAlignment="1">
      <alignment horizontal="left"/>
    </xf>
    <xf numFmtId="171" fontId="15" fillId="0" borderId="12" xfId="0" applyNumberFormat="1" applyFont="1" applyBorder="1" applyAlignment="1">
      <alignment horizontal="left"/>
    </xf>
    <xf numFmtId="171" fontId="15" fillId="0" borderId="10" xfId="0" applyNumberFormat="1" applyFont="1" applyBorder="1" applyAlignment="1">
      <alignment horizontal="left" wrapText="1"/>
    </xf>
    <xf numFmtId="171" fontId="15" fillId="0" borderId="0" xfId="0" applyNumberFormat="1" applyFont="1" applyBorder="1" applyAlignment="1">
      <alignment horizontal="left" wrapText="1"/>
    </xf>
    <xf numFmtId="171" fontId="15" fillId="0" borderId="12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171" fontId="0" fillId="0" borderId="23" xfId="0" applyNumberFormat="1" applyFill="1" applyBorder="1" applyAlignment="1">
      <alignment horizontal="center" vertical="center"/>
    </xf>
    <xf numFmtId="171" fontId="0" fillId="0" borderId="24" xfId="0" applyNumberFormat="1" applyFill="1" applyBorder="1" applyAlignment="1">
      <alignment horizontal="center" vertical="center"/>
    </xf>
    <xf numFmtId="171" fontId="0" fillId="0" borderId="25" xfId="0" applyNumberFormat="1" applyFill="1" applyBorder="1" applyAlignment="1">
      <alignment horizontal="center" vertical="center"/>
    </xf>
    <xf numFmtId="171" fontId="0" fillId="0" borderId="10" xfId="0" applyNumberFormat="1" applyBorder="1" applyAlignment="1">
      <alignment horizontal="left"/>
    </xf>
    <xf numFmtId="171" fontId="0" fillId="0" borderId="0" xfId="0" applyNumberForma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0</xdr:row>
      <xdr:rowOff>0</xdr:rowOff>
    </xdr:from>
    <xdr:to>
      <xdr:col>8</xdr:col>
      <xdr:colOff>847725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200400" y="0"/>
          <a:ext cx="7515225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OJO NO ESTA TOTALMENTE ENGANCHADO. USAR CON CUIDADO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30"/>
  <sheetViews>
    <sheetView showGridLines="0" tabSelected="1" zoomScale="50" zoomScaleNormal="50" zoomScalePageLayoutView="0" workbookViewId="0" topLeftCell="A21">
      <selection activeCell="A30" sqref="A30"/>
    </sheetView>
  </sheetViews>
  <sheetFormatPr defaultColWidth="11.421875" defaultRowHeight="12.75"/>
  <cols>
    <col min="1" max="1" width="2.7109375" style="190" customWidth="1"/>
    <col min="2" max="3" width="22.28125" style="190" customWidth="1"/>
    <col min="4" max="4" width="23.28125" style="190" customWidth="1"/>
    <col min="5" max="5" width="25.421875" style="190" customWidth="1"/>
    <col min="6" max="6" width="2.7109375" style="190" customWidth="1"/>
    <col min="7" max="7" width="6.8515625" style="190" customWidth="1"/>
    <col min="8" max="16384" width="11.421875" style="190" customWidth="1"/>
  </cols>
  <sheetData>
    <row r="1" spans="1:6" s="187" customFormat="1" ht="16.5" customHeight="1" thickBot="1" thickTop="1">
      <c r="A1" s="184"/>
      <c r="B1" s="185"/>
      <c r="C1" s="185"/>
      <c r="D1" s="185"/>
      <c r="E1" s="185"/>
      <c r="F1" s="186"/>
    </row>
    <row r="2" spans="1:6" ht="26.25">
      <c r="A2" s="188"/>
      <c r="B2" s="349" t="s">
        <v>175</v>
      </c>
      <c r="C2" s="344"/>
      <c r="D2" s="344"/>
      <c r="E2" s="345"/>
      <c r="F2" s="189"/>
    </row>
    <row r="3" spans="1:6" ht="23.25">
      <c r="A3" s="191"/>
      <c r="B3" s="350" t="s">
        <v>191</v>
      </c>
      <c r="C3" s="351"/>
      <c r="D3" s="351"/>
      <c r="E3" s="352"/>
      <c r="F3" s="189"/>
    </row>
    <row r="4" spans="1:6" ht="23.25">
      <c r="A4" s="191"/>
      <c r="B4" s="350" t="s">
        <v>192</v>
      </c>
      <c r="C4" s="351"/>
      <c r="D4" s="351"/>
      <c r="E4" s="352"/>
      <c r="F4" s="189"/>
    </row>
    <row r="5" spans="1:8" ht="18.75" thickBot="1">
      <c r="A5" s="191"/>
      <c r="B5" s="192"/>
      <c r="C5" s="193"/>
      <c r="D5" s="193"/>
      <c r="E5" s="194"/>
      <c r="F5" s="195"/>
      <c r="G5" s="196"/>
      <c r="H5" s="196"/>
    </row>
    <row r="6" spans="1:6" ht="16.5" customHeight="1" thickBot="1">
      <c r="A6" s="191"/>
      <c r="B6" s="197"/>
      <c r="C6" s="197"/>
      <c r="D6" s="197"/>
      <c r="E6" s="197"/>
      <c r="F6" s="189"/>
    </row>
    <row r="7" spans="1:8" ht="24" customHeight="1">
      <c r="A7" s="191"/>
      <c r="B7" s="343" t="s">
        <v>66</v>
      </c>
      <c r="C7" s="344"/>
      <c r="D7" s="344"/>
      <c r="E7" s="345"/>
      <c r="F7" s="80"/>
      <c r="G7" s="72"/>
      <c r="H7" s="198"/>
    </row>
    <row r="8" spans="1:7" ht="46.5" customHeight="1" thickBot="1">
      <c r="A8" s="191"/>
      <c r="B8" s="346" t="s">
        <v>176</v>
      </c>
      <c r="C8" s="347"/>
      <c r="D8" s="347"/>
      <c r="E8" s="348"/>
      <c r="F8" s="80"/>
      <c r="G8" s="72"/>
    </row>
    <row r="9" spans="1:7" ht="16.5" customHeight="1">
      <c r="A9" s="191"/>
      <c r="B9" s="199"/>
      <c r="C9" s="197"/>
      <c r="D9" s="197"/>
      <c r="E9" s="197"/>
      <c r="F9" s="80"/>
      <c r="G9" s="72"/>
    </row>
    <row r="10" spans="1:6" ht="16.5" customHeight="1" thickBot="1">
      <c r="A10" s="191"/>
      <c r="B10" s="197"/>
      <c r="C10" s="197"/>
      <c r="D10" s="197"/>
      <c r="E10" s="197"/>
      <c r="F10" s="189"/>
    </row>
    <row r="11" spans="1:6" s="202" customFormat="1" ht="56.25" customHeight="1" thickBot="1">
      <c r="A11" s="200"/>
      <c r="B11" s="362" t="s">
        <v>174</v>
      </c>
      <c r="C11" s="363"/>
      <c r="D11" s="363"/>
      <c r="E11" s="364"/>
      <c r="F11" s="201"/>
    </row>
    <row r="12" spans="1:6" s="202" customFormat="1" ht="29.25" customHeight="1">
      <c r="A12" s="200"/>
      <c r="B12" s="203"/>
      <c r="C12" s="330"/>
      <c r="D12" s="330"/>
      <c r="E12" s="204"/>
      <c r="F12" s="201"/>
    </row>
    <row r="13" spans="1:6" ht="16.5" customHeight="1" thickBot="1">
      <c r="A13" s="191"/>
      <c r="B13" s="197"/>
      <c r="C13" s="197"/>
      <c r="D13" s="197"/>
      <c r="E13" s="197"/>
      <c r="F13" s="189"/>
    </row>
    <row r="14" spans="1:6" s="202" customFormat="1" ht="45.75" customHeight="1" thickBot="1">
      <c r="A14" s="200"/>
      <c r="B14" s="365" t="s">
        <v>178</v>
      </c>
      <c r="C14" s="366"/>
      <c r="D14" s="366"/>
      <c r="E14" s="367"/>
      <c r="F14" s="201"/>
    </row>
    <row r="15" spans="1:6" s="202" customFormat="1" ht="25.5" customHeight="1">
      <c r="A15" s="200"/>
      <c r="B15" s="205"/>
      <c r="C15" s="329"/>
      <c r="D15" s="206"/>
      <c r="E15" s="206"/>
      <c r="F15" s="201"/>
    </row>
    <row r="16" spans="1:6" s="187" customFormat="1" ht="16.5" customHeight="1" thickBot="1">
      <c r="A16" s="191"/>
      <c r="B16" s="73"/>
      <c r="C16" s="73"/>
      <c r="D16" s="73"/>
      <c r="E16" s="73"/>
      <c r="F16" s="207"/>
    </row>
    <row r="17" spans="1:6" ht="47.25" customHeight="1" thickBot="1">
      <c r="A17" s="188"/>
      <c r="B17" s="368" t="s">
        <v>177</v>
      </c>
      <c r="C17" s="369"/>
      <c r="D17" s="369"/>
      <c r="E17" s="370"/>
      <c r="F17" s="189"/>
    </row>
    <row r="18" spans="1:6" ht="27" customHeight="1">
      <c r="A18" s="191"/>
      <c r="B18" s="208"/>
      <c r="C18" s="330"/>
      <c r="D18" s="330"/>
      <c r="E18" s="183"/>
      <c r="F18" s="189"/>
    </row>
    <row r="19" spans="1:6" ht="16.5" customHeight="1" thickBot="1">
      <c r="A19" s="191"/>
      <c r="B19" s="197"/>
      <c r="C19" s="197"/>
      <c r="D19" s="197"/>
      <c r="E19" s="197"/>
      <c r="F19" s="209"/>
    </row>
    <row r="20" spans="1:6" ht="49.5" customHeight="1">
      <c r="A20" s="191"/>
      <c r="B20" s="371" t="s">
        <v>179</v>
      </c>
      <c r="C20" s="372"/>
      <c r="D20" s="372"/>
      <c r="E20" s="373"/>
      <c r="F20" s="189"/>
    </row>
    <row r="21" spans="1:8" ht="52.5" customHeight="1">
      <c r="A21" s="191"/>
      <c r="B21" s="353" t="s">
        <v>107</v>
      </c>
      <c r="C21" s="354"/>
      <c r="D21" s="354"/>
      <c r="E21" s="355"/>
      <c r="F21" s="210"/>
      <c r="G21" s="211"/>
      <c r="H21" s="211"/>
    </row>
    <row r="22" spans="1:8" ht="61.5" customHeight="1" thickBot="1">
      <c r="A22" s="191"/>
      <c r="B22" s="356" t="s">
        <v>180</v>
      </c>
      <c r="C22" s="357"/>
      <c r="D22" s="357"/>
      <c r="E22" s="358"/>
      <c r="F22" s="210"/>
      <c r="G22" s="211"/>
      <c r="H22" s="211"/>
    </row>
    <row r="23" spans="1:8" ht="32.25" customHeight="1">
      <c r="A23" s="191"/>
      <c r="B23" s="212"/>
      <c r="C23" s="183"/>
      <c r="D23" s="183"/>
      <c r="E23" s="183"/>
      <c r="F23" s="210"/>
      <c r="G23" s="211"/>
      <c r="H23" s="211"/>
    </row>
    <row r="24" spans="1:8" ht="16.5" customHeight="1">
      <c r="A24" s="191"/>
      <c r="B24" s="213"/>
      <c r="C24" s="214"/>
      <c r="D24" s="214"/>
      <c r="E24" s="214"/>
      <c r="F24" s="210"/>
      <c r="G24" s="211"/>
      <c r="H24" s="211"/>
    </row>
    <row r="25" spans="1:6" ht="16.5" customHeight="1" thickBot="1">
      <c r="A25" s="191"/>
      <c r="B25" s="197"/>
      <c r="C25" s="197"/>
      <c r="D25" s="197"/>
      <c r="E25" s="197"/>
      <c r="F25" s="189"/>
    </row>
    <row r="26" spans="1:6" ht="24" thickBot="1">
      <c r="A26" s="191"/>
      <c r="B26" s="359" t="s">
        <v>0</v>
      </c>
      <c r="C26" s="360"/>
      <c r="D26" s="360"/>
      <c r="E26" s="361"/>
      <c r="F26" s="189"/>
    </row>
    <row r="27" spans="1:6" ht="21" thickBot="1">
      <c r="A27" s="191"/>
      <c r="B27" s="215" t="s">
        <v>1</v>
      </c>
      <c r="C27" s="215" t="s">
        <v>2</v>
      </c>
      <c r="D27" s="215" t="s">
        <v>3</v>
      </c>
      <c r="E27" s="215" t="s">
        <v>4</v>
      </c>
      <c r="F27" s="189"/>
    </row>
    <row r="28" spans="1:6" ht="24" customHeight="1" thickBot="1">
      <c r="A28" s="191"/>
      <c r="B28" s="216"/>
      <c r="C28" s="217" t="s">
        <v>5</v>
      </c>
      <c r="D28" s="218">
        <v>5000</v>
      </c>
      <c r="E28" s="218">
        <v>5000</v>
      </c>
      <c r="F28" s="189"/>
    </row>
    <row r="29" spans="1:6" ht="16.5" customHeight="1">
      <c r="A29" s="191"/>
      <c r="C29" s="197"/>
      <c r="D29" s="197"/>
      <c r="E29" s="197"/>
      <c r="F29" s="189"/>
    </row>
    <row r="30" spans="1:6" ht="16.5" customHeight="1" thickBot="1">
      <c r="A30" s="219"/>
      <c r="B30" s="220"/>
      <c r="C30" s="220"/>
      <c r="D30" s="220"/>
      <c r="E30" s="220"/>
      <c r="F30" s="221"/>
    </row>
    <row r="31" ht="18" customHeight="1" thickTop="1"/>
    <row r="32" ht="18" customHeight="1"/>
    <row r="33" ht="15" customHeight="1"/>
  </sheetData>
  <sheetProtection/>
  <mergeCells count="12">
    <mergeCell ref="B22:E22"/>
    <mergeCell ref="B26:E26"/>
    <mergeCell ref="B11:E11"/>
    <mergeCell ref="B14:E14"/>
    <mergeCell ref="B17:E17"/>
    <mergeCell ref="B20:E20"/>
    <mergeCell ref="B7:E7"/>
    <mergeCell ref="B8:E8"/>
    <mergeCell ref="B2:E2"/>
    <mergeCell ref="B3:E3"/>
    <mergeCell ref="B4:E4"/>
    <mergeCell ref="B21:E21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8"/>
  <sheetViews>
    <sheetView showGridLines="0" showZeros="0" zoomScalePageLayoutView="0" workbookViewId="0" topLeftCell="A2">
      <selection activeCell="C52" sqref="C52:D53"/>
    </sheetView>
  </sheetViews>
  <sheetFormatPr defaultColWidth="11.421875" defaultRowHeight="12.75"/>
  <cols>
    <col min="1" max="1" width="2.7109375" style="16" customWidth="1"/>
    <col min="2" max="2" width="19.28125" style="16" customWidth="1"/>
    <col min="3" max="4" width="13.421875" style="16" customWidth="1"/>
    <col min="5" max="5" width="5.7109375" style="16" customWidth="1"/>
    <col min="6" max="6" width="11.7109375" style="16" customWidth="1"/>
    <col min="7" max="7" width="5.7109375" style="16" customWidth="1"/>
    <col min="8" max="8" width="11.7109375" style="16" customWidth="1"/>
    <col min="9" max="9" width="5.7109375" style="16" customWidth="1"/>
    <col min="10" max="10" width="11.7109375" style="16" customWidth="1"/>
    <col min="11" max="11" width="4.7109375" style="16" customWidth="1"/>
    <col min="12" max="13" width="11.421875" style="16" customWidth="1"/>
    <col min="14" max="14" width="2.7109375" style="16" customWidth="1"/>
    <col min="15" max="16384" width="11.421875" style="16" customWidth="1"/>
  </cols>
  <sheetData>
    <row r="1" spans="1:11" ht="17.25" customHeight="1">
      <c r="A1" s="142"/>
      <c r="B1" s="76"/>
      <c r="C1" s="76"/>
      <c r="D1" s="76"/>
      <c r="E1" s="76"/>
      <c r="F1" s="76"/>
      <c r="G1" s="76"/>
      <c r="H1" s="76"/>
      <c r="I1" s="76"/>
      <c r="J1" s="143" t="s">
        <v>79</v>
      </c>
      <c r="K1" s="144"/>
    </row>
    <row r="2" spans="1:11" ht="18">
      <c r="A2" s="51"/>
      <c r="B2" s="379" t="str">
        <f>CARAT!B11</f>
        <v>EL REGRESO S.R.L.</v>
      </c>
      <c r="C2" s="379"/>
      <c r="D2" s="379"/>
      <c r="E2" s="379"/>
      <c r="F2" s="379"/>
      <c r="G2" s="379"/>
      <c r="H2" s="379"/>
      <c r="I2" s="379"/>
      <c r="J2" s="379"/>
      <c r="K2" s="106"/>
    </row>
    <row r="3" spans="1:11" ht="15" customHeight="1" thickBot="1">
      <c r="A3" s="51"/>
      <c r="B3" s="18"/>
      <c r="C3" s="18"/>
      <c r="D3" s="18"/>
      <c r="E3" s="18"/>
      <c r="F3" s="18"/>
      <c r="G3" s="18"/>
      <c r="H3" s="18"/>
      <c r="I3" s="18"/>
      <c r="J3" s="18"/>
      <c r="K3" s="106"/>
    </row>
    <row r="4" spans="1:11" ht="19.5" customHeight="1">
      <c r="A4" s="51"/>
      <c r="B4" s="380" t="s">
        <v>71</v>
      </c>
      <c r="C4" s="381"/>
      <c r="D4" s="381"/>
      <c r="E4" s="381"/>
      <c r="F4" s="381"/>
      <c r="G4" s="381"/>
      <c r="H4" s="381"/>
      <c r="I4" s="381"/>
      <c r="J4" s="382"/>
      <c r="K4" s="106"/>
    </row>
    <row r="5" spans="1:11" ht="19.5" customHeight="1">
      <c r="A5" s="51"/>
      <c r="B5" s="383" t="s">
        <v>70</v>
      </c>
      <c r="C5" s="384"/>
      <c r="D5" s="384"/>
      <c r="E5" s="384"/>
      <c r="F5" s="384"/>
      <c r="G5" s="384"/>
      <c r="H5" s="384"/>
      <c r="I5" s="384"/>
      <c r="J5" s="385"/>
      <c r="K5" s="106"/>
    </row>
    <row r="6" spans="1:11" ht="19.5" customHeight="1">
      <c r="A6" s="51"/>
      <c r="B6" s="386" t="s">
        <v>193</v>
      </c>
      <c r="C6" s="387"/>
      <c r="D6" s="387"/>
      <c r="E6" s="387"/>
      <c r="F6" s="387"/>
      <c r="G6" s="387"/>
      <c r="H6" s="387"/>
      <c r="I6" s="387"/>
      <c r="J6" s="388"/>
      <c r="K6" s="106"/>
    </row>
    <row r="7" spans="1:11" ht="15" customHeight="1" thickBot="1">
      <c r="A7" s="51"/>
      <c r="B7" s="374" t="s">
        <v>69</v>
      </c>
      <c r="C7" s="375"/>
      <c r="D7" s="375"/>
      <c r="E7" s="375"/>
      <c r="F7" s="375"/>
      <c r="G7" s="375"/>
      <c r="H7" s="375"/>
      <c r="I7" s="375"/>
      <c r="J7" s="376"/>
      <c r="K7" s="106"/>
    </row>
    <row r="8" spans="1:11" ht="15" customHeight="1" thickBot="1">
      <c r="A8" s="51"/>
      <c r="B8" s="18"/>
      <c r="C8" s="18"/>
      <c r="D8" s="18"/>
      <c r="E8" s="18"/>
      <c r="F8" s="18"/>
      <c r="G8" s="18"/>
      <c r="H8" s="18"/>
      <c r="I8" s="18"/>
      <c r="J8" s="18"/>
      <c r="K8" s="106"/>
    </row>
    <row r="9" spans="1:11" ht="46.5" customHeight="1" thickBot="1">
      <c r="A9" s="51"/>
      <c r="B9" s="61" t="s">
        <v>38</v>
      </c>
      <c r="C9" s="377" t="s">
        <v>62</v>
      </c>
      <c r="D9" s="377" t="s">
        <v>196</v>
      </c>
      <c r="E9" s="145" t="s">
        <v>50</v>
      </c>
      <c r="F9" s="145"/>
      <c r="G9" s="145" t="s">
        <v>51</v>
      </c>
      <c r="H9" s="145"/>
      <c r="I9" s="145" t="s">
        <v>111</v>
      </c>
      <c r="J9" s="145"/>
      <c r="K9" s="106"/>
    </row>
    <row r="10" spans="1:11" ht="15" customHeight="1" thickBot="1">
      <c r="A10" s="51"/>
      <c r="B10" s="46"/>
      <c r="C10" s="378"/>
      <c r="D10" s="378"/>
      <c r="E10" s="146" t="s">
        <v>52</v>
      </c>
      <c r="F10" s="147" t="s">
        <v>53</v>
      </c>
      <c r="G10" s="146" t="s">
        <v>52</v>
      </c>
      <c r="H10" s="147" t="s">
        <v>53</v>
      </c>
      <c r="I10" s="146" t="s">
        <v>52</v>
      </c>
      <c r="J10" s="147" t="s">
        <v>53</v>
      </c>
      <c r="K10" s="106"/>
    </row>
    <row r="11" spans="1:11" ht="12" customHeight="1">
      <c r="A11" s="51"/>
      <c r="B11" s="149" t="s">
        <v>112</v>
      </c>
      <c r="C11" s="129">
        <v>6881.15</v>
      </c>
      <c r="D11" s="129">
        <f>ROUND((7254.79*1.5383),2)</f>
        <v>11160.04</v>
      </c>
      <c r="E11" s="42">
        <v>100</v>
      </c>
      <c r="F11" s="129">
        <f>ROUND(($C11*E11/100),2)</f>
        <v>6881.15</v>
      </c>
      <c r="G11" s="42">
        <v>0</v>
      </c>
      <c r="H11" s="129">
        <f aca="true" t="shared" si="0" ref="H11:H49">ROUND(($C11*G11/100),2)</f>
        <v>0</v>
      </c>
      <c r="I11" s="42">
        <v>0</v>
      </c>
      <c r="J11" s="129">
        <f aca="true" t="shared" si="1" ref="J11:J49">ROUND(($C11*I11/100),2)</f>
        <v>0</v>
      </c>
      <c r="K11" s="106"/>
    </row>
    <row r="12" spans="1:11" ht="12" customHeight="1">
      <c r="A12" s="51"/>
      <c r="B12" s="40" t="s">
        <v>110</v>
      </c>
      <c r="C12" s="129">
        <v>95962.42</v>
      </c>
      <c r="D12" s="129">
        <f>ROUND((62382.12*1.5383),2)</f>
        <v>95962.42</v>
      </c>
      <c r="E12" s="42">
        <v>20</v>
      </c>
      <c r="F12" s="129">
        <f>ROUND(($C12*E12/100),2)</f>
        <v>19192.48</v>
      </c>
      <c r="G12" s="42">
        <v>80</v>
      </c>
      <c r="H12" s="129">
        <f>ROUND(($C12*G12/100),2)</f>
        <v>76769.94</v>
      </c>
      <c r="I12" s="42">
        <v>0</v>
      </c>
      <c r="J12" s="129">
        <f t="shared" si="1"/>
        <v>0</v>
      </c>
      <c r="K12" s="106"/>
    </row>
    <row r="13" spans="1:11" ht="12" customHeight="1">
      <c r="A13" s="51"/>
      <c r="B13" s="40"/>
      <c r="C13" s="129"/>
      <c r="D13" s="129"/>
      <c r="E13" s="42"/>
      <c r="F13" s="129"/>
      <c r="G13" s="42"/>
      <c r="H13" s="129"/>
      <c r="I13" s="42"/>
      <c r="J13" s="129">
        <f t="shared" si="1"/>
        <v>0</v>
      </c>
      <c r="K13" s="106"/>
    </row>
    <row r="14" spans="1:11" ht="12" customHeight="1">
      <c r="A14" s="51"/>
      <c r="B14" s="40"/>
      <c r="C14" s="129"/>
      <c r="D14" s="129"/>
      <c r="E14" s="42"/>
      <c r="F14" s="129"/>
      <c r="G14" s="42"/>
      <c r="H14" s="129"/>
      <c r="I14" s="42"/>
      <c r="J14" s="129">
        <f t="shared" si="1"/>
        <v>0</v>
      </c>
      <c r="K14" s="106"/>
    </row>
    <row r="15" spans="1:11" ht="12" customHeight="1">
      <c r="A15" s="51"/>
      <c r="B15" s="40"/>
      <c r="C15" s="129"/>
      <c r="D15" s="129"/>
      <c r="E15" s="42"/>
      <c r="F15" s="129"/>
      <c r="G15" s="42"/>
      <c r="H15" s="129"/>
      <c r="I15" s="42"/>
      <c r="J15" s="129">
        <f t="shared" si="1"/>
        <v>0</v>
      </c>
      <c r="K15" s="106"/>
    </row>
    <row r="16" spans="1:11" ht="12" customHeight="1">
      <c r="A16" s="51"/>
      <c r="B16" s="149"/>
      <c r="C16" s="129"/>
      <c r="D16" s="129"/>
      <c r="E16" s="42"/>
      <c r="F16" s="129"/>
      <c r="G16" s="42"/>
      <c r="H16" s="129"/>
      <c r="I16" s="42"/>
      <c r="J16" s="129"/>
      <c r="K16" s="106"/>
    </row>
    <row r="17" spans="1:11" ht="12" customHeight="1">
      <c r="A17" s="51"/>
      <c r="B17" s="273"/>
      <c r="C17" s="129"/>
      <c r="D17" s="129"/>
      <c r="E17" s="42"/>
      <c r="F17" s="129"/>
      <c r="G17" s="42"/>
      <c r="H17" s="129"/>
      <c r="I17" s="42"/>
      <c r="J17" s="129">
        <f t="shared" si="1"/>
        <v>0</v>
      </c>
      <c r="K17" s="106"/>
    </row>
    <row r="18" spans="1:11" ht="12" customHeight="1">
      <c r="A18" s="51"/>
      <c r="B18" s="41"/>
      <c r="C18" s="129"/>
      <c r="D18" s="129"/>
      <c r="E18" s="42"/>
      <c r="F18" s="129"/>
      <c r="G18" s="42"/>
      <c r="H18" s="129"/>
      <c r="I18" s="42"/>
      <c r="J18" s="129">
        <f t="shared" si="1"/>
        <v>0</v>
      </c>
      <c r="K18" s="106"/>
    </row>
    <row r="19" spans="1:11" ht="12" customHeight="1">
      <c r="A19" s="51"/>
      <c r="B19" s="149"/>
      <c r="C19" s="129"/>
      <c r="D19" s="129"/>
      <c r="E19" s="42"/>
      <c r="F19" s="129"/>
      <c r="G19" s="42"/>
      <c r="H19" s="129"/>
      <c r="I19" s="42"/>
      <c r="J19" s="129">
        <f t="shared" si="1"/>
        <v>0</v>
      </c>
      <c r="K19" s="106"/>
    </row>
    <row r="20" spans="1:11" ht="12" customHeight="1">
      <c r="A20" s="51"/>
      <c r="B20" s="149"/>
      <c r="C20" s="129"/>
      <c r="D20" s="129"/>
      <c r="E20" s="42"/>
      <c r="F20" s="129"/>
      <c r="G20" s="42"/>
      <c r="H20" s="129"/>
      <c r="I20" s="42"/>
      <c r="J20" s="129">
        <f t="shared" si="1"/>
        <v>0</v>
      </c>
      <c r="K20" s="106"/>
    </row>
    <row r="21" spans="1:11" ht="12" customHeight="1">
      <c r="A21" s="51"/>
      <c r="B21" s="273"/>
      <c r="C21" s="129"/>
      <c r="D21" s="129"/>
      <c r="E21" s="42"/>
      <c r="F21" s="129"/>
      <c r="G21" s="42"/>
      <c r="H21" s="129"/>
      <c r="I21" s="42"/>
      <c r="J21" s="129">
        <f t="shared" si="1"/>
        <v>0</v>
      </c>
      <c r="K21" s="106"/>
    </row>
    <row r="22" spans="1:11" ht="12" customHeight="1">
      <c r="A22" s="51"/>
      <c r="B22" s="39"/>
      <c r="C22" s="129"/>
      <c r="D22" s="129"/>
      <c r="E22" s="42"/>
      <c r="F22" s="129"/>
      <c r="G22" s="42"/>
      <c r="H22" s="129"/>
      <c r="I22" s="42"/>
      <c r="J22" s="129"/>
      <c r="K22" s="106"/>
    </row>
    <row r="23" spans="1:11" ht="12" customHeight="1">
      <c r="A23" s="51"/>
      <c r="B23" s="41"/>
      <c r="C23" s="129"/>
      <c r="D23" s="129"/>
      <c r="E23" s="42"/>
      <c r="F23" s="129"/>
      <c r="G23" s="42"/>
      <c r="H23" s="129"/>
      <c r="I23" s="42"/>
      <c r="J23" s="129">
        <f t="shared" si="1"/>
        <v>0</v>
      </c>
      <c r="K23" s="106"/>
    </row>
    <row r="24" spans="1:11" ht="12" customHeight="1">
      <c r="A24" s="51"/>
      <c r="B24" s="273"/>
      <c r="C24" s="129"/>
      <c r="D24" s="129"/>
      <c r="E24" s="42"/>
      <c r="F24" s="129"/>
      <c r="G24" s="42"/>
      <c r="H24" s="129"/>
      <c r="I24" s="42"/>
      <c r="J24" s="129">
        <f t="shared" si="1"/>
        <v>0</v>
      </c>
      <c r="K24" s="106"/>
    </row>
    <row r="25" spans="1:11" ht="12" customHeight="1">
      <c r="A25" s="51"/>
      <c r="B25" s="41"/>
      <c r="C25" s="129"/>
      <c r="D25" s="129"/>
      <c r="E25" s="42"/>
      <c r="F25" s="129"/>
      <c r="G25" s="42"/>
      <c r="H25" s="129"/>
      <c r="I25" s="42"/>
      <c r="J25" s="129">
        <f t="shared" si="1"/>
        <v>0</v>
      </c>
      <c r="K25" s="106"/>
    </row>
    <row r="26" spans="1:11" ht="12" customHeight="1">
      <c r="A26" s="51"/>
      <c r="B26" s="41"/>
      <c r="C26" s="129"/>
      <c r="D26" s="129"/>
      <c r="E26" s="42"/>
      <c r="F26" s="129"/>
      <c r="G26" s="42"/>
      <c r="H26" s="129"/>
      <c r="I26" s="42"/>
      <c r="J26" s="129">
        <f t="shared" si="1"/>
        <v>0</v>
      </c>
      <c r="K26" s="106"/>
    </row>
    <row r="27" spans="1:11" ht="12" customHeight="1">
      <c r="A27" s="51"/>
      <c r="B27" s="41"/>
      <c r="C27" s="129"/>
      <c r="D27" s="129"/>
      <c r="E27" s="42"/>
      <c r="F27" s="129"/>
      <c r="G27" s="42"/>
      <c r="H27" s="129"/>
      <c r="I27" s="42"/>
      <c r="J27" s="129">
        <f t="shared" si="1"/>
        <v>0</v>
      </c>
      <c r="K27" s="106"/>
    </row>
    <row r="28" spans="1:11" ht="12" customHeight="1">
      <c r="A28" s="51"/>
      <c r="B28" s="149"/>
      <c r="C28" s="129"/>
      <c r="D28" s="129"/>
      <c r="E28" s="42"/>
      <c r="F28" s="129"/>
      <c r="G28" s="42"/>
      <c r="H28" s="129"/>
      <c r="I28" s="42"/>
      <c r="J28" s="129">
        <f t="shared" si="1"/>
        <v>0</v>
      </c>
      <c r="K28" s="106"/>
    </row>
    <row r="29" spans="1:11" ht="12" customHeight="1">
      <c r="A29" s="51"/>
      <c r="B29" s="41"/>
      <c r="C29" s="129">
        <v>0</v>
      </c>
      <c r="D29" s="129">
        <v>0</v>
      </c>
      <c r="E29" s="42">
        <v>0</v>
      </c>
      <c r="F29" s="129">
        <f aca="true" t="shared" si="2" ref="F29:F49">ROUND(($C29*E29/100),2)</f>
        <v>0</v>
      </c>
      <c r="G29" s="42">
        <v>0</v>
      </c>
      <c r="H29" s="129">
        <f t="shared" si="0"/>
        <v>0</v>
      </c>
      <c r="I29" s="42">
        <v>0</v>
      </c>
      <c r="J29" s="129">
        <f t="shared" si="1"/>
        <v>0</v>
      </c>
      <c r="K29" s="106"/>
    </row>
    <row r="30" spans="1:11" ht="12" customHeight="1">
      <c r="A30" s="51"/>
      <c r="B30" s="149"/>
      <c r="C30" s="129">
        <v>0</v>
      </c>
      <c r="D30" s="129">
        <v>0</v>
      </c>
      <c r="E30" s="42">
        <v>0</v>
      </c>
      <c r="F30" s="129">
        <f t="shared" si="2"/>
        <v>0</v>
      </c>
      <c r="G30" s="42">
        <v>0</v>
      </c>
      <c r="H30" s="129"/>
      <c r="I30" s="42">
        <v>0</v>
      </c>
      <c r="J30" s="129"/>
      <c r="K30" s="106"/>
    </row>
    <row r="31" spans="1:11" ht="12" customHeight="1">
      <c r="A31" s="51"/>
      <c r="B31" s="148"/>
      <c r="C31" s="129">
        <v>0</v>
      </c>
      <c r="D31" s="129">
        <v>0</v>
      </c>
      <c r="E31" s="42">
        <v>0</v>
      </c>
      <c r="F31" s="129">
        <f t="shared" si="2"/>
        <v>0</v>
      </c>
      <c r="G31" s="42">
        <v>0</v>
      </c>
      <c r="H31" s="129">
        <f t="shared" si="0"/>
        <v>0</v>
      </c>
      <c r="I31" s="42">
        <v>0</v>
      </c>
      <c r="J31" s="129">
        <f t="shared" si="1"/>
        <v>0</v>
      </c>
      <c r="K31" s="106"/>
    </row>
    <row r="32" spans="1:11" ht="12" customHeight="1">
      <c r="A32" s="51"/>
      <c r="B32" s="41"/>
      <c r="C32" s="129">
        <v>0</v>
      </c>
      <c r="D32" s="129">
        <v>0</v>
      </c>
      <c r="E32" s="42">
        <v>0</v>
      </c>
      <c r="F32" s="129">
        <f t="shared" si="2"/>
        <v>0</v>
      </c>
      <c r="G32" s="42">
        <v>0</v>
      </c>
      <c r="H32" s="129">
        <f t="shared" si="0"/>
        <v>0</v>
      </c>
      <c r="I32" s="42">
        <v>0</v>
      </c>
      <c r="J32" s="129">
        <f t="shared" si="1"/>
        <v>0</v>
      </c>
      <c r="K32" s="106"/>
    </row>
    <row r="33" spans="1:11" ht="12" customHeight="1">
      <c r="A33" s="51"/>
      <c r="B33" s="148"/>
      <c r="C33" s="129">
        <v>0</v>
      </c>
      <c r="D33" s="129">
        <v>0</v>
      </c>
      <c r="E33" s="42">
        <v>0</v>
      </c>
      <c r="F33" s="129">
        <f t="shared" si="2"/>
        <v>0</v>
      </c>
      <c r="G33" s="42">
        <v>0</v>
      </c>
      <c r="H33" s="129">
        <f t="shared" si="0"/>
        <v>0</v>
      </c>
      <c r="I33" s="42">
        <v>0</v>
      </c>
      <c r="J33" s="129">
        <f t="shared" si="1"/>
        <v>0</v>
      </c>
      <c r="K33" s="106"/>
    </row>
    <row r="34" spans="1:11" ht="12" customHeight="1">
      <c r="A34" s="51"/>
      <c r="B34" s="148"/>
      <c r="C34" s="129">
        <v>0</v>
      </c>
      <c r="D34" s="129">
        <v>0</v>
      </c>
      <c r="E34" s="42">
        <v>0</v>
      </c>
      <c r="F34" s="129">
        <f t="shared" si="2"/>
        <v>0</v>
      </c>
      <c r="G34" s="42">
        <v>0</v>
      </c>
      <c r="H34" s="129">
        <f t="shared" si="0"/>
        <v>0</v>
      </c>
      <c r="I34" s="42">
        <v>0</v>
      </c>
      <c r="J34" s="129">
        <f t="shared" si="1"/>
        <v>0</v>
      </c>
      <c r="K34" s="106"/>
    </row>
    <row r="35" spans="1:11" ht="12" customHeight="1">
      <c r="A35" s="51"/>
      <c r="B35" s="149"/>
      <c r="C35" s="129">
        <v>0</v>
      </c>
      <c r="D35" s="129">
        <v>0</v>
      </c>
      <c r="E35" s="42">
        <v>0</v>
      </c>
      <c r="F35" s="129">
        <f t="shared" si="2"/>
        <v>0</v>
      </c>
      <c r="G35" s="42">
        <v>0</v>
      </c>
      <c r="H35" s="129"/>
      <c r="I35" s="42">
        <v>0</v>
      </c>
      <c r="J35" s="129"/>
      <c r="K35" s="106"/>
    </row>
    <row r="36" spans="1:11" ht="12" customHeight="1">
      <c r="A36" s="51"/>
      <c r="B36" s="41"/>
      <c r="C36" s="129">
        <v>0</v>
      </c>
      <c r="D36" s="129">
        <v>0</v>
      </c>
      <c r="E36" s="42">
        <v>0</v>
      </c>
      <c r="F36" s="129">
        <f t="shared" si="2"/>
        <v>0</v>
      </c>
      <c r="G36" s="42">
        <v>0</v>
      </c>
      <c r="H36" s="129">
        <f t="shared" si="0"/>
        <v>0</v>
      </c>
      <c r="I36" s="42">
        <v>0</v>
      </c>
      <c r="J36" s="129">
        <f t="shared" si="1"/>
        <v>0</v>
      </c>
      <c r="K36" s="106"/>
    </row>
    <row r="37" spans="1:11" ht="12" customHeight="1">
      <c r="A37" s="51"/>
      <c r="B37" s="148"/>
      <c r="C37" s="129">
        <v>0</v>
      </c>
      <c r="D37" s="129">
        <v>0</v>
      </c>
      <c r="E37" s="42">
        <v>0</v>
      </c>
      <c r="F37" s="129">
        <f t="shared" si="2"/>
        <v>0</v>
      </c>
      <c r="G37" s="42">
        <v>0</v>
      </c>
      <c r="H37" s="129">
        <f t="shared" si="0"/>
        <v>0</v>
      </c>
      <c r="I37" s="42">
        <v>0</v>
      </c>
      <c r="J37" s="129">
        <f t="shared" si="1"/>
        <v>0</v>
      </c>
      <c r="K37" s="106"/>
    </row>
    <row r="38" spans="1:11" ht="12" customHeight="1">
      <c r="A38" s="51"/>
      <c r="B38" s="41"/>
      <c r="C38" s="129">
        <v>0</v>
      </c>
      <c r="D38" s="129">
        <v>0</v>
      </c>
      <c r="E38" s="42">
        <v>0</v>
      </c>
      <c r="F38" s="129">
        <f t="shared" si="2"/>
        <v>0</v>
      </c>
      <c r="G38" s="42">
        <v>0</v>
      </c>
      <c r="H38" s="129">
        <f t="shared" si="0"/>
        <v>0</v>
      </c>
      <c r="I38" s="42">
        <v>0</v>
      </c>
      <c r="J38" s="129">
        <f t="shared" si="1"/>
        <v>0</v>
      </c>
      <c r="K38" s="106"/>
    </row>
    <row r="39" spans="1:11" ht="12" customHeight="1">
      <c r="A39" s="51"/>
      <c r="B39" s="41"/>
      <c r="C39" s="129">
        <v>0</v>
      </c>
      <c r="D39" s="129">
        <v>0</v>
      </c>
      <c r="E39" s="42">
        <v>0</v>
      </c>
      <c r="F39" s="129">
        <f t="shared" si="2"/>
        <v>0</v>
      </c>
      <c r="G39" s="42">
        <v>0</v>
      </c>
      <c r="H39" s="129">
        <f t="shared" si="0"/>
        <v>0</v>
      </c>
      <c r="I39" s="42">
        <v>0</v>
      </c>
      <c r="J39" s="129">
        <f t="shared" si="1"/>
        <v>0</v>
      </c>
      <c r="K39" s="106"/>
    </row>
    <row r="40" spans="1:11" ht="12" customHeight="1">
      <c r="A40" s="51"/>
      <c r="B40" s="148"/>
      <c r="C40" s="129">
        <v>0</v>
      </c>
      <c r="D40" s="129">
        <v>0</v>
      </c>
      <c r="E40" s="42">
        <v>0</v>
      </c>
      <c r="F40" s="129">
        <f t="shared" si="2"/>
        <v>0</v>
      </c>
      <c r="G40" s="42">
        <v>0</v>
      </c>
      <c r="H40" s="129">
        <f t="shared" si="0"/>
        <v>0</v>
      </c>
      <c r="I40" s="42">
        <v>0</v>
      </c>
      <c r="J40" s="129">
        <f t="shared" si="1"/>
        <v>0</v>
      </c>
      <c r="K40" s="106"/>
    </row>
    <row r="41" spans="1:11" ht="12" customHeight="1">
      <c r="A41" s="51"/>
      <c r="B41" s="148"/>
      <c r="C41" s="129">
        <v>0</v>
      </c>
      <c r="D41" s="129">
        <v>0</v>
      </c>
      <c r="E41" s="42">
        <v>0</v>
      </c>
      <c r="F41" s="129">
        <f t="shared" si="2"/>
        <v>0</v>
      </c>
      <c r="G41" s="42">
        <v>0</v>
      </c>
      <c r="H41" s="129">
        <f t="shared" si="0"/>
        <v>0</v>
      </c>
      <c r="I41" s="42">
        <v>0</v>
      </c>
      <c r="J41" s="129">
        <f>ROUND(($C41*I41/100),2)</f>
        <v>0</v>
      </c>
      <c r="K41" s="106"/>
    </row>
    <row r="42" spans="1:11" ht="12" customHeight="1">
      <c r="A42" s="51"/>
      <c r="B42" s="41"/>
      <c r="C42" s="129">
        <v>0</v>
      </c>
      <c r="D42" s="129">
        <v>0</v>
      </c>
      <c r="E42" s="42">
        <v>0</v>
      </c>
      <c r="F42" s="129">
        <f t="shared" si="2"/>
        <v>0</v>
      </c>
      <c r="G42" s="42">
        <v>0</v>
      </c>
      <c r="H42" s="129">
        <f t="shared" si="0"/>
        <v>0</v>
      </c>
      <c r="I42" s="42">
        <v>0</v>
      </c>
      <c r="J42" s="129">
        <f t="shared" si="1"/>
        <v>0</v>
      </c>
      <c r="K42" s="106"/>
    </row>
    <row r="43" spans="1:11" ht="12" customHeight="1">
      <c r="A43" s="51"/>
      <c r="B43" s="41"/>
      <c r="C43" s="129">
        <v>0</v>
      </c>
      <c r="D43" s="129">
        <v>0</v>
      </c>
      <c r="E43" s="42">
        <v>0</v>
      </c>
      <c r="F43" s="129">
        <f t="shared" si="2"/>
        <v>0</v>
      </c>
      <c r="G43" s="42">
        <v>0</v>
      </c>
      <c r="H43" s="129">
        <f t="shared" si="0"/>
        <v>0</v>
      </c>
      <c r="I43" s="42">
        <v>0</v>
      </c>
      <c r="J43" s="129">
        <f t="shared" si="1"/>
        <v>0</v>
      </c>
      <c r="K43" s="106"/>
    </row>
    <row r="44" spans="1:11" ht="12" customHeight="1">
      <c r="A44" s="51"/>
      <c r="B44" s="41"/>
      <c r="C44" s="129">
        <v>0</v>
      </c>
      <c r="D44" s="129">
        <v>0</v>
      </c>
      <c r="E44" s="42">
        <v>0</v>
      </c>
      <c r="F44" s="129">
        <f t="shared" si="2"/>
        <v>0</v>
      </c>
      <c r="G44" s="42">
        <v>0</v>
      </c>
      <c r="H44" s="129">
        <f t="shared" si="0"/>
        <v>0</v>
      </c>
      <c r="I44" s="42">
        <v>0</v>
      </c>
      <c r="J44" s="129">
        <f t="shared" si="1"/>
        <v>0</v>
      </c>
      <c r="K44" s="106"/>
    </row>
    <row r="45" spans="1:11" ht="12" customHeight="1">
      <c r="A45" s="51"/>
      <c r="B45" s="41"/>
      <c r="C45" s="129">
        <v>0</v>
      </c>
      <c r="D45" s="129">
        <v>0</v>
      </c>
      <c r="E45" s="42">
        <v>0</v>
      </c>
      <c r="F45" s="129">
        <f t="shared" si="2"/>
        <v>0</v>
      </c>
      <c r="G45" s="42">
        <v>0</v>
      </c>
      <c r="H45" s="129">
        <f t="shared" si="0"/>
        <v>0</v>
      </c>
      <c r="I45" s="42">
        <v>0</v>
      </c>
      <c r="J45" s="129">
        <f t="shared" si="1"/>
        <v>0</v>
      </c>
      <c r="K45" s="106"/>
    </row>
    <row r="46" spans="1:11" ht="12" customHeight="1">
      <c r="A46" s="51"/>
      <c r="B46" s="41"/>
      <c r="C46" s="129">
        <v>0</v>
      </c>
      <c r="D46" s="129">
        <v>0</v>
      </c>
      <c r="E46" s="42">
        <v>0</v>
      </c>
      <c r="F46" s="129">
        <f t="shared" si="2"/>
        <v>0</v>
      </c>
      <c r="G46" s="42">
        <v>0</v>
      </c>
      <c r="H46" s="129">
        <f t="shared" si="0"/>
        <v>0</v>
      </c>
      <c r="I46" s="42">
        <v>0</v>
      </c>
      <c r="J46" s="129">
        <f t="shared" si="1"/>
        <v>0</v>
      </c>
      <c r="K46" s="106"/>
    </row>
    <row r="47" spans="1:11" ht="12" customHeight="1">
      <c r="A47" s="51"/>
      <c r="B47" s="41"/>
      <c r="C47" s="129">
        <v>0</v>
      </c>
      <c r="D47" s="129">
        <v>0</v>
      </c>
      <c r="E47" s="42">
        <v>0</v>
      </c>
      <c r="F47" s="129"/>
      <c r="G47" s="42">
        <v>0</v>
      </c>
      <c r="H47" s="129"/>
      <c r="I47" s="42">
        <v>0</v>
      </c>
      <c r="J47" s="129">
        <f t="shared" si="1"/>
        <v>0</v>
      </c>
      <c r="K47" s="106"/>
    </row>
    <row r="48" spans="1:11" ht="12" customHeight="1">
      <c r="A48" s="51"/>
      <c r="B48" s="41"/>
      <c r="C48" s="129">
        <v>0</v>
      </c>
      <c r="D48" s="129">
        <v>0</v>
      </c>
      <c r="E48" s="42">
        <v>0</v>
      </c>
      <c r="F48" s="129">
        <f t="shared" si="2"/>
        <v>0</v>
      </c>
      <c r="G48" s="42">
        <v>0</v>
      </c>
      <c r="H48" s="129">
        <f t="shared" si="0"/>
        <v>0</v>
      </c>
      <c r="I48" s="42">
        <v>0</v>
      </c>
      <c r="J48" s="129">
        <f t="shared" si="1"/>
        <v>0</v>
      </c>
      <c r="K48" s="106"/>
    </row>
    <row r="49" spans="1:11" ht="12" customHeight="1" thickBot="1">
      <c r="A49" s="51"/>
      <c r="B49" s="41"/>
      <c r="C49" s="129">
        <v>0</v>
      </c>
      <c r="D49" s="129">
        <v>0</v>
      </c>
      <c r="E49" s="41"/>
      <c r="F49" s="129">
        <f t="shared" si="2"/>
        <v>0</v>
      </c>
      <c r="G49" s="42">
        <v>0</v>
      </c>
      <c r="H49" s="129">
        <f t="shared" si="0"/>
        <v>0</v>
      </c>
      <c r="I49" s="42">
        <v>0</v>
      </c>
      <c r="J49" s="129">
        <f t="shared" si="1"/>
        <v>0</v>
      </c>
      <c r="K49" s="106"/>
    </row>
    <row r="50" spans="1:11" ht="12" customHeight="1" thickBot="1">
      <c r="A50" s="51"/>
      <c r="B50" s="150" t="s">
        <v>54</v>
      </c>
      <c r="C50" s="131">
        <f>SUM(C11:C49)</f>
        <v>102843.56999999999</v>
      </c>
      <c r="D50" s="131">
        <f>SUM(D11:D49)</f>
        <v>107122.45999999999</v>
      </c>
      <c r="E50" s="151"/>
      <c r="F50" s="131">
        <f>SUM(F11:F49)</f>
        <v>26073.629999999997</v>
      </c>
      <c r="G50" s="152"/>
      <c r="H50" s="131">
        <f>SUM(H11:H49)</f>
        <v>76769.94</v>
      </c>
      <c r="I50" s="152"/>
      <c r="J50" s="131">
        <f>SUM(J11:J49)</f>
        <v>0</v>
      </c>
      <c r="K50" s="106"/>
    </row>
    <row r="51" spans="1:11" ht="15" customHeight="1">
      <c r="A51" s="51"/>
      <c r="B51" s="63"/>
      <c r="C51" s="141"/>
      <c r="D51" s="153"/>
      <c r="E51" s="63"/>
      <c r="F51" s="153"/>
      <c r="G51" s="63"/>
      <c r="H51" s="153"/>
      <c r="I51" s="63"/>
      <c r="J51" s="153"/>
      <c r="K51" s="106"/>
    </row>
    <row r="52" spans="1:11" ht="15" customHeight="1">
      <c r="A52" s="51"/>
      <c r="B52" s="63"/>
      <c r="C52" s="141"/>
      <c r="D52" s="153"/>
      <c r="E52" s="63"/>
      <c r="F52" s="153"/>
      <c r="G52" s="63"/>
      <c r="H52" s="153"/>
      <c r="I52" s="63"/>
      <c r="J52" s="153"/>
      <c r="K52" s="106"/>
    </row>
    <row r="53" spans="1:11" ht="15" customHeight="1">
      <c r="A53" s="51"/>
      <c r="B53" s="63"/>
      <c r="C53" s="141"/>
      <c r="D53" s="153"/>
      <c r="E53" s="63"/>
      <c r="F53" s="153"/>
      <c r="G53" s="63"/>
      <c r="H53" s="153"/>
      <c r="I53" s="63"/>
      <c r="J53" s="153"/>
      <c r="K53" s="106"/>
    </row>
    <row r="54" spans="1:11" ht="15" customHeight="1">
      <c r="A54" s="51"/>
      <c r="B54" s="63"/>
      <c r="C54" s="141"/>
      <c r="D54" s="153"/>
      <c r="E54" s="63"/>
      <c r="F54" s="153"/>
      <c r="G54" s="63"/>
      <c r="H54" s="153"/>
      <c r="I54" s="63"/>
      <c r="J54" s="153"/>
      <c r="K54" s="106"/>
    </row>
    <row r="55" spans="1:11" ht="15" customHeight="1">
      <c r="A55" s="51"/>
      <c r="B55" s="63"/>
      <c r="C55" s="141"/>
      <c r="D55" s="153"/>
      <c r="E55" s="63"/>
      <c r="F55" s="153"/>
      <c r="G55" s="63"/>
      <c r="H55" s="153"/>
      <c r="I55" s="63"/>
      <c r="J55" s="153"/>
      <c r="K55" s="106"/>
    </row>
    <row r="56" spans="1:11" ht="15" customHeight="1">
      <c r="A56" s="51"/>
      <c r="B56" s="63"/>
      <c r="C56" s="141"/>
      <c r="D56" s="153"/>
      <c r="E56" s="63"/>
      <c r="F56" s="153"/>
      <c r="G56" s="63"/>
      <c r="H56" s="153"/>
      <c r="I56" s="63"/>
      <c r="J56" s="153"/>
      <c r="K56" s="106"/>
    </row>
    <row r="57" spans="1:11" ht="15" customHeight="1">
      <c r="A57" s="51"/>
      <c r="B57" s="18"/>
      <c r="C57" s="141"/>
      <c r="D57" s="153"/>
      <c r="E57" s="63"/>
      <c r="F57" s="153"/>
      <c r="G57" s="63"/>
      <c r="H57" s="153"/>
      <c r="I57" s="63"/>
      <c r="J57" s="153"/>
      <c r="K57" s="106"/>
    </row>
    <row r="58" spans="1:11" ht="15" customHeight="1">
      <c r="A58" s="51"/>
      <c r="B58" s="18"/>
      <c r="C58" s="18"/>
      <c r="D58" s="63"/>
      <c r="E58" s="63"/>
      <c r="F58" s="153"/>
      <c r="G58" s="63"/>
      <c r="H58" s="153"/>
      <c r="I58" s="63"/>
      <c r="J58" s="153"/>
      <c r="K58" s="106"/>
    </row>
    <row r="59" spans="1:11" ht="15" customHeight="1">
      <c r="A59" s="51"/>
      <c r="B59" s="54" t="s">
        <v>61</v>
      </c>
      <c r="C59" s="55"/>
      <c r="D59" s="154"/>
      <c r="E59" s="154"/>
      <c r="F59" s="155"/>
      <c r="G59" s="154"/>
      <c r="H59" s="155"/>
      <c r="I59" s="154"/>
      <c r="J59" s="156"/>
      <c r="K59" s="106"/>
    </row>
    <row r="60" spans="1:11" ht="15" customHeight="1" thickBot="1">
      <c r="A60" s="107"/>
      <c r="B60" s="78"/>
      <c r="C60" s="78"/>
      <c r="D60" s="157"/>
      <c r="E60" s="157"/>
      <c r="F60" s="158"/>
      <c r="G60" s="157"/>
      <c r="H60" s="158"/>
      <c r="I60" s="157"/>
      <c r="J60" s="158"/>
      <c r="K60" s="159"/>
    </row>
    <row r="61" spans="4:10" ht="12" customHeight="1">
      <c r="D61" s="160"/>
      <c r="E61" s="160"/>
      <c r="F61" s="161"/>
      <c r="G61" s="160"/>
      <c r="H61" s="160"/>
      <c r="I61" s="160"/>
      <c r="J61" s="161"/>
    </row>
    <row r="62" spans="4:10" ht="12" customHeight="1">
      <c r="D62" s="160"/>
      <c r="E62" s="160"/>
      <c r="F62" s="161"/>
      <c r="G62" s="160"/>
      <c r="H62" s="160"/>
      <c r="I62" s="160"/>
      <c r="J62" s="161"/>
    </row>
    <row r="63" spans="4:10" ht="12" customHeight="1">
      <c r="D63" s="162"/>
      <c r="E63" s="160"/>
      <c r="F63" s="161"/>
      <c r="G63" s="160"/>
      <c r="H63" s="160"/>
      <c r="I63" s="160"/>
      <c r="J63" s="161"/>
    </row>
    <row r="64" spans="4:10" ht="12" customHeight="1">
      <c r="D64" s="160"/>
      <c r="E64" s="160"/>
      <c r="F64" s="161"/>
      <c r="G64" s="160"/>
      <c r="H64" s="160"/>
      <c r="I64" s="160"/>
      <c r="J64" s="160"/>
    </row>
    <row r="65" spans="4:10" ht="12" customHeight="1">
      <c r="D65" s="160"/>
      <c r="E65" s="160"/>
      <c r="F65" s="161"/>
      <c r="G65" s="160"/>
      <c r="H65" s="160"/>
      <c r="I65" s="160"/>
      <c r="J65" s="160"/>
    </row>
    <row r="66" spans="4:10" ht="12" customHeight="1">
      <c r="D66" s="160"/>
      <c r="E66" s="160"/>
      <c r="F66" s="161"/>
      <c r="G66" s="160"/>
      <c r="H66" s="160"/>
      <c r="I66" s="160"/>
      <c r="J66" s="160"/>
    </row>
    <row r="67" ht="12" customHeight="1">
      <c r="F67" s="163"/>
    </row>
    <row r="68" ht="12" customHeight="1">
      <c r="F68" s="163"/>
    </row>
    <row r="69" ht="12" customHeight="1">
      <c r="F69" s="163"/>
    </row>
    <row r="70" ht="12" customHeight="1">
      <c r="F70" s="163"/>
    </row>
    <row r="71" ht="15" customHeight="1">
      <c r="F71" s="163"/>
    </row>
    <row r="72" spans="3:6" ht="15" customHeight="1">
      <c r="C72" s="43"/>
      <c r="F72" s="163"/>
    </row>
    <row r="73" ht="15" customHeight="1">
      <c r="F73" s="163"/>
    </row>
    <row r="74" ht="15" customHeight="1">
      <c r="F74" s="163"/>
    </row>
    <row r="75" ht="15" customHeight="1">
      <c r="F75" s="163"/>
    </row>
    <row r="76" ht="15" customHeight="1">
      <c r="F76" s="163"/>
    </row>
    <row r="77" ht="15" customHeight="1">
      <c r="F77" s="163"/>
    </row>
    <row r="78" ht="15" customHeight="1">
      <c r="F78" s="163"/>
    </row>
    <row r="79" ht="18" customHeight="1">
      <c r="F79" s="163"/>
    </row>
    <row r="80" ht="18" customHeight="1">
      <c r="F80" s="163"/>
    </row>
    <row r="81" ht="18" customHeight="1">
      <c r="F81" s="163"/>
    </row>
    <row r="82" ht="18" customHeight="1">
      <c r="F82" s="163"/>
    </row>
    <row r="83" ht="18" customHeight="1">
      <c r="F83" s="163"/>
    </row>
    <row r="84" ht="18" customHeight="1">
      <c r="F84" s="163"/>
    </row>
    <row r="85" ht="18" customHeight="1">
      <c r="F85" s="163"/>
    </row>
    <row r="86" ht="18" customHeight="1">
      <c r="F86" s="163"/>
    </row>
    <row r="87" ht="18" customHeight="1">
      <c r="F87" s="163"/>
    </row>
    <row r="88" ht="18" customHeight="1">
      <c r="F88" s="163"/>
    </row>
    <row r="89" ht="18" customHeight="1">
      <c r="F89" s="163"/>
    </row>
    <row r="90" ht="18" customHeight="1">
      <c r="F90" s="163"/>
    </row>
    <row r="91" ht="18" customHeight="1">
      <c r="F91" s="163"/>
    </row>
    <row r="92" ht="18" customHeight="1">
      <c r="F92" s="163"/>
    </row>
    <row r="93" ht="18" customHeight="1">
      <c r="F93" s="163"/>
    </row>
    <row r="94" ht="18" customHeight="1">
      <c r="F94" s="163"/>
    </row>
    <row r="95" ht="18" customHeight="1">
      <c r="F95" s="163"/>
    </row>
    <row r="96" ht="18" customHeight="1">
      <c r="F96" s="163"/>
    </row>
    <row r="97" ht="18" customHeight="1">
      <c r="F97" s="163"/>
    </row>
    <row r="98" ht="18" customHeight="1">
      <c r="F98" s="163"/>
    </row>
    <row r="99" ht="18" customHeight="1">
      <c r="F99" s="163"/>
    </row>
    <row r="100" ht="18" customHeight="1">
      <c r="F100" s="163"/>
    </row>
    <row r="101" ht="18" customHeight="1">
      <c r="F101" s="163"/>
    </row>
    <row r="102" ht="18" customHeight="1">
      <c r="F102" s="163"/>
    </row>
    <row r="103" ht="18" customHeight="1">
      <c r="F103" s="163"/>
    </row>
    <row r="104" ht="18" customHeight="1">
      <c r="F104" s="163"/>
    </row>
    <row r="105" ht="18" customHeight="1">
      <c r="F105" s="163"/>
    </row>
    <row r="106" ht="18" customHeight="1">
      <c r="F106" s="163"/>
    </row>
    <row r="107" ht="18" customHeight="1">
      <c r="F107" s="163"/>
    </row>
    <row r="108" ht="18" customHeight="1">
      <c r="F108" s="163"/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mergeCells count="7">
    <mergeCell ref="B7:J7"/>
    <mergeCell ref="C9:C10"/>
    <mergeCell ref="D9:D10"/>
    <mergeCell ref="B2:J2"/>
    <mergeCell ref="B4:J4"/>
    <mergeCell ref="B5:J5"/>
    <mergeCell ref="B6:J6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7"/>
  <sheetViews>
    <sheetView showGridLines="0" zoomScale="90" zoomScaleNormal="90" zoomScalePageLayoutView="0" workbookViewId="0" topLeftCell="A6">
      <selection activeCell="C17" sqref="C17"/>
    </sheetView>
  </sheetViews>
  <sheetFormatPr defaultColWidth="11.421875" defaultRowHeight="12.75"/>
  <cols>
    <col min="1" max="1" width="2.7109375" style="16" customWidth="1"/>
    <col min="2" max="2" width="37.7109375" style="16" customWidth="1"/>
    <col min="3" max="3" width="22.28125" style="16" customWidth="1"/>
    <col min="4" max="4" width="21.28125" style="16" customWidth="1"/>
    <col min="5" max="5" width="4.7109375" style="16" customWidth="1"/>
    <col min="6" max="16384" width="11.421875" style="16" customWidth="1"/>
  </cols>
  <sheetData>
    <row r="1" spans="1:5" ht="15" customHeight="1" thickTop="1">
      <c r="A1" s="13"/>
      <c r="B1" s="14"/>
      <c r="C1" s="14"/>
      <c r="D1" s="44" t="s">
        <v>78</v>
      </c>
      <c r="E1" s="15"/>
    </row>
    <row r="2" spans="1:5" ht="18" customHeight="1">
      <c r="A2" s="17"/>
      <c r="B2" s="389" t="str">
        <f>CARAT!B11</f>
        <v>EL REGRESO S.R.L.</v>
      </c>
      <c r="C2" s="389"/>
      <c r="D2" s="389"/>
      <c r="E2" s="19"/>
    </row>
    <row r="3" spans="1:5" ht="15" customHeight="1" thickBot="1">
      <c r="A3" s="17"/>
      <c r="B3" s="18"/>
      <c r="C3" s="18"/>
      <c r="D3" s="18"/>
      <c r="E3" s="19"/>
    </row>
    <row r="4" spans="1:5" ht="18">
      <c r="A4" s="17"/>
      <c r="B4" s="390" t="s">
        <v>108</v>
      </c>
      <c r="C4" s="391"/>
      <c r="D4" s="392"/>
      <c r="E4" s="19"/>
    </row>
    <row r="5" spans="1:5" ht="15.75">
      <c r="A5" s="17"/>
      <c r="B5" s="393" t="s">
        <v>194</v>
      </c>
      <c r="C5" s="394"/>
      <c r="D5" s="395"/>
      <c r="E5" s="19"/>
    </row>
    <row r="6" spans="1:5" ht="13.5" thickBot="1">
      <c r="A6" s="17"/>
      <c r="B6" s="396" t="s">
        <v>69</v>
      </c>
      <c r="C6" s="397"/>
      <c r="D6" s="398"/>
      <c r="E6" s="19"/>
    </row>
    <row r="7" spans="1:5" ht="15">
      <c r="A7" s="17"/>
      <c r="B7" s="45"/>
      <c r="C7" s="20"/>
      <c r="D7" s="20"/>
      <c r="E7" s="19"/>
    </row>
    <row r="8" spans="1:5" ht="18" customHeight="1" thickBot="1">
      <c r="A8" s="17"/>
      <c r="B8" s="18"/>
      <c r="C8" s="18"/>
      <c r="D8" s="18"/>
      <c r="E8" s="19"/>
    </row>
    <row r="9" spans="1:5" ht="30" customHeight="1" thickBot="1">
      <c r="A9" s="17"/>
      <c r="B9" s="97"/>
      <c r="C9" s="109" t="s">
        <v>73</v>
      </c>
      <c r="D9" s="109" t="s">
        <v>197</v>
      </c>
      <c r="E9" s="19"/>
    </row>
    <row r="10" spans="1:5" ht="15" customHeight="1" thickBot="1">
      <c r="A10" s="17"/>
      <c r="B10" s="46"/>
      <c r="C10" s="47" t="s">
        <v>7</v>
      </c>
      <c r="D10" s="47"/>
      <c r="E10" s="19"/>
    </row>
    <row r="11" spans="1:5" ht="30" customHeight="1">
      <c r="A11" s="17"/>
      <c r="B11" s="49" t="s">
        <v>106</v>
      </c>
      <c r="C11" s="43">
        <f>+D17</f>
        <v>138447</v>
      </c>
      <c r="D11" s="164">
        <f>ROUND((95972.5*1.5383),2)</f>
        <v>147634.5</v>
      </c>
      <c r="E11" s="19"/>
    </row>
    <row r="12" spans="1:5" ht="30" customHeight="1">
      <c r="A12" s="17"/>
      <c r="B12" s="49" t="s">
        <v>55</v>
      </c>
      <c r="C12" s="165"/>
      <c r="D12" s="165"/>
      <c r="E12" s="19"/>
    </row>
    <row r="13" spans="1:8" ht="30" customHeight="1">
      <c r="A13" s="17"/>
      <c r="B13" s="48" t="s">
        <v>56</v>
      </c>
      <c r="C13" s="164">
        <v>16423.37</v>
      </c>
      <c r="D13" s="164">
        <f>ROUND((4152.84*1.5383),2)</f>
        <v>6388.31</v>
      </c>
      <c r="E13" s="19"/>
      <c r="H13" s="163"/>
    </row>
    <row r="14" spans="1:5" ht="30" customHeight="1" thickBot="1">
      <c r="A14" s="17"/>
      <c r="B14" s="49" t="s">
        <v>200</v>
      </c>
      <c r="C14" s="164">
        <f>3057.94-3057.94</f>
        <v>0</v>
      </c>
      <c r="D14" s="164">
        <f>ROUND((4384.23*1.5383),2)</f>
        <v>6744.26</v>
      </c>
      <c r="E14" s="19"/>
    </row>
    <row r="15" spans="1:5" ht="30" customHeight="1">
      <c r="A15" s="17"/>
      <c r="B15" s="50" t="s">
        <v>57</v>
      </c>
      <c r="C15" s="166">
        <f>SUM(C11:C14)</f>
        <v>154870.37</v>
      </c>
      <c r="D15" s="166">
        <f>SUM(D11:D14)</f>
        <v>160767.07</v>
      </c>
      <c r="E15" s="19"/>
    </row>
    <row r="16" spans="1:5" ht="30" customHeight="1">
      <c r="A16" s="17"/>
      <c r="B16" s="49" t="s">
        <v>58</v>
      </c>
      <c r="C16" s="165"/>
      <c r="D16" s="165"/>
      <c r="E16" s="19"/>
    </row>
    <row r="17" spans="1:8" ht="30" customHeight="1" thickBot="1">
      <c r="A17" s="17"/>
      <c r="B17" s="49" t="s">
        <v>59</v>
      </c>
      <c r="C17" s="164">
        <f>137000-3057.94</f>
        <v>133942.06</v>
      </c>
      <c r="D17" s="164">
        <f>ROUND((90000*1.5383),2)</f>
        <v>138447</v>
      </c>
      <c r="E17" s="19"/>
      <c r="G17" s="43"/>
      <c r="H17" s="43"/>
    </row>
    <row r="18" spans="1:5" ht="30" customHeight="1" thickBot="1">
      <c r="A18" s="17"/>
      <c r="B18" s="271" t="s">
        <v>76</v>
      </c>
      <c r="C18" s="167">
        <f>C15-C17</f>
        <v>20928.309999999998</v>
      </c>
      <c r="D18" s="167">
        <f>D15-D17</f>
        <v>22320.070000000007</v>
      </c>
      <c r="E18" s="19"/>
    </row>
    <row r="19" spans="1:5" ht="36" customHeight="1">
      <c r="A19" s="17"/>
      <c r="B19" s="52"/>
      <c r="C19" s="53"/>
      <c r="D19" s="53"/>
      <c r="E19" s="19"/>
    </row>
    <row r="20" spans="1:5" ht="36" customHeight="1">
      <c r="A20" s="17"/>
      <c r="B20" s="52"/>
      <c r="C20" s="53"/>
      <c r="D20" s="53"/>
      <c r="E20" s="19"/>
    </row>
    <row r="21" spans="1:5" ht="36" customHeight="1">
      <c r="A21" s="17"/>
      <c r="B21" s="52"/>
      <c r="C21" s="53"/>
      <c r="D21" s="53"/>
      <c r="E21" s="19"/>
    </row>
    <row r="22" spans="1:5" ht="15" customHeight="1">
      <c r="A22" s="17"/>
      <c r="B22" s="54" t="s">
        <v>61</v>
      </c>
      <c r="C22" s="55"/>
      <c r="D22" s="56"/>
      <c r="E22" s="19"/>
    </row>
    <row r="23" spans="1:5" ht="15" customHeight="1" thickBot="1">
      <c r="A23" s="21"/>
      <c r="B23" s="57"/>
      <c r="C23" s="22"/>
      <c r="D23" s="22"/>
      <c r="E23" s="100"/>
    </row>
    <row r="24" ht="30" customHeight="1" thickTop="1">
      <c r="B24" s="58"/>
    </row>
    <row r="25" ht="30" customHeight="1">
      <c r="B25" s="58"/>
    </row>
    <row r="26" ht="30" customHeight="1">
      <c r="B26" s="58"/>
    </row>
    <row r="27" ht="30" customHeight="1">
      <c r="B27" s="58"/>
    </row>
    <row r="28" ht="30" customHeight="1">
      <c r="B28" s="58"/>
    </row>
    <row r="29" ht="30" customHeight="1">
      <c r="B29" s="58"/>
    </row>
    <row r="30" ht="30" customHeight="1">
      <c r="B30" s="58"/>
    </row>
    <row r="31" ht="30" customHeight="1">
      <c r="B31" s="58"/>
    </row>
    <row r="32" ht="30" customHeight="1">
      <c r="B32" s="58"/>
    </row>
    <row r="33" ht="30" customHeight="1">
      <c r="B33" s="58"/>
    </row>
    <row r="34" ht="30" customHeight="1">
      <c r="B34" s="58"/>
    </row>
    <row r="35" ht="30" customHeight="1">
      <c r="B35" s="58"/>
    </row>
    <row r="36" ht="30" customHeight="1">
      <c r="B36" s="58"/>
    </row>
    <row r="37" ht="30" customHeight="1">
      <c r="B37" s="58"/>
    </row>
    <row r="38" ht="30" customHeight="1">
      <c r="B38" s="58"/>
    </row>
    <row r="39" ht="30" customHeight="1">
      <c r="B39" s="58"/>
    </row>
    <row r="40" ht="30" customHeight="1">
      <c r="B40" s="58"/>
    </row>
    <row r="41" ht="15" customHeight="1">
      <c r="B41" s="58"/>
    </row>
    <row r="42" ht="15" customHeight="1">
      <c r="B42" s="58"/>
    </row>
    <row r="43" ht="15" customHeight="1">
      <c r="B43" s="58"/>
    </row>
    <row r="44" ht="15" customHeight="1">
      <c r="B44" s="58"/>
    </row>
    <row r="45" ht="15" customHeight="1">
      <c r="B45" s="58"/>
    </row>
    <row r="46" ht="15" customHeight="1">
      <c r="B46" s="58"/>
    </row>
    <row r="47" ht="15" customHeight="1">
      <c r="B47" s="58"/>
    </row>
    <row r="48" ht="15" customHeight="1">
      <c r="B48" s="58"/>
    </row>
    <row r="49" ht="15" customHeight="1">
      <c r="B49" s="58"/>
    </row>
    <row r="50" ht="15" customHeight="1">
      <c r="B50" s="58"/>
    </row>
    <row r="51" ht="15" customHeight="1">
      <c r="B51" s="58"/>
    </row>
    <row r="52" ht="15" customHeight="1">
      <c r="B52" s="58"/>
    </row>
    <row r="53" ht="12.75" customHeight="1">
      <c r="B53" s="58"/>
    </row>
    <row r="54" ht="12.75" customHeight="1">
      <c r="B54" s="58"/>
    </row>
    <row r="55" ht="12.75" customHeight="1">
      <c r="B55" s="58"/>
    </row>
    <row r="56" ht="12.75" customHeight="1">
      <c r="B56" s="58"/>
    </row>
    <row r="57" ht="12.75" customHeight="1">
      <c r="B57" s="58"/>
    </row>
    <row r="58" ht="12.75" customHeight="1"/>
    <row r="59" ht="12.75" customHeight="1"/>
    <row r="60" ht="12.75" customHeight="1"/>
  </sheetData>
  <sheetProtection/>
  <mergeCells count="4">
    <mergeCell ref="B2:D2"/>
    <mergeCell ref="B4:D4"/>
    <mergeCell ref="B5:D5"/>
    <mergeCell ref="B6:D6"/>
  </mergeCells>
  <printOptions horizontalCentered="1"/>
  <pageMargins left="0.7874015748031497" right="0.7874015748031497" top="0.7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7"/>
  <sheetViews>
    <sheetView showGridLines="0" zoomScale="75" zoomScaleNormal="75" zoomScalePageLayoutView="0" workbookViewId="0" topLeftCell="A11">
      <selection activeCell="C17" sqref="C17"/>
    </sheetView>
  </sheetViews>
  <sheetFormatPr defaultColWidth="11.421875" defaultRowHeight="12.75"/>
  <cols>
    <col min="1" max="1" width="4.00390625" style="7" customWidth="1"/>
    <col min="2" max="2" width="55.421875" style="7" customWidth="1"/>
    <col min="3" max="3" width="15.7109375" style="11" customWidth="1"/>
    <col min="4" max="4" width="16.8515625" style="11" customWidth="1"/>
    <col min="5" max="5" width="9.140625" style="7" customWidth="1"/>
    <col min="6" max="7" width="11.421875" style="7" customWidth="1"/>
    <col min="8" max="8" width="11.57421875" style="7" bestFit="1" customWidth="1"/>
    <col min="9" max="16384" width="11.421875" style="7" customWidth="1"/>
  </cols>
  <sheetData>
    <row r="1" spans="1:5" ht="18.75" customHeight="1" thickTop="1">
      <c r="A1" s="402" t="str">
        <f>CARAT!B11</f>
        <v>EL REGRESO S.R.L.</v>
      </c>
      <c r="B1" s="403"/>
      <c r="C1" s="403"/>
      <c r="D1" s="403"/>
      <c r="E1" s="404"/>
    </row>
    <row r="2" spans="1:5" ht="15" customHeight="1" thickBot="1">
      <c r="A2" s="69"/>
      <c r="B2" s="71"/>
      <c r="C2" s="3"/>
      <c r="D2" s="3"/>
      <c r="E2" s="70"/>
    </row>
    <row r="3" spans="1:5" ht="19.5" customHeight="1">
      <c r="A3" s="69"/>
      <c r="B3" s="399" t="s">
        <v>67</v>
      </c>
      <c r="C3" s="400"/>
      <c r="D3" s="401"/>
      <c r="E3" s="70"/>
    </row>
    <row r="4" spans="1:5" ht="15" customHeight="1">
      <c r="A4" s="69"/>
      <c r="B4" s="405" t="str">
        <f>'A.RTDOS'!B5</f>
        <v>Por el ejercicio finalizado el 31/12/2019</v>
      </c>
      <c r="C4" s="406"/>
      <c r="D4" s="407"/>
      <c r="E4" s="70"/>
    </row>
    <row r="5" spans="1:5" ht="21" customHeight="1" thickBot="1">
      <c r="A5" s="69"/>
      <c r="B5" s="408" t="s">
        <v>69</v>
      </c>
      <c r="C5" s="409"/>
      <c r="D5" s="410"/>
      <c r="E5" s="70"/>
    </row>
    <row r="6" spans="1:5" ht="15" customHeight="1" thickBot="1">
      <c r="A6" s="69"/>
      <c r="B6" s="71"/>
      <c r="C6" s="3"/>
      <c r="D6" s="3"/>
      <c r="E6" s="70"/>
    </row>
    <row r="7" spans="1:5" ht="27" customHeight="1" thickBot="1">
      <c r="A7" s="69"/>
      <c r="B7" s="97"/>
      <c r="C7" s="109" t="s">
        <v>73</v>
      </c>
      <c r="D7" s="109" t="s">
        <v>197</v>
      </c>
      <c r="E7" s="70"/>
    </row>
    <row r="8" spans="1:5" ht="15" customHeight="1" thickBot="1">
      <c r="A8" s="69"/>
      <c r="B8" s="79"/>
      <c r="C8" s="255" t="s">
        <v>21</v>
      </c>
      <c r="D8" s="255" t="s">
        <v>21</v>
      </c>
      <c r="E8" s="70"/>
    </row>
    <row r="9" spans="1:5" s="168" customFormat="1" ht="34.5" customHeight="1">
      <c r="A9" s="178"/>
      <c r="B9" s="79" t="s">
        <v>109</v>
      </c>
      <c r="C9" s="256">
        <v>32289.39</v>
      </c>
      <c r="D9" s="256">
        <f>ROUND((20313.4*1.5383),2)</f>
        <v>31248.1</v>
      </c>
      <c r="E9" s="179"/>
    </row>
    <row r="10" spans="1:5" s="168" customFormat="1" ht="34.5" customHeight="1">
      <c r="A10" s="178"/>
      <c r="B10" s="79" t="s">
        <v>187</v>
      </c>
      <c r="C10" s="256">
        <f>-'A.RTDOS'!C18</f>
        <v>-20928.309999999998</v>
      </c>
      <c r="D10" s="256">
        <f>-'A.RTDOS'!D18</f>
        <v>-22320.070000000007</v>
      </c>
      <c r="E10" s="179"/>
    </row>
    <row r="11" spans="1:5" ht="34.5" customHeight="1">
      <c r="A11" s="69"/>
      <c r="B11" s="79"/>
      <c r="C11" s="6"/>
      <c r="D11" s="257"/>
      <c r="E11" s="70"/>
    </row>
    <row r="12" spans="1:5" ht="34.5" customHeight="1">
      <c r="A12" s="69"/>
      <c r="B12" s="79" t="s">
        <v>92</v>
      </c>
      <c r="C12" s="256">
        <v>0</v>
      </c>
      <c r="D12" s="256">
        <v>0</v>
      </c>
      <c r="E12" s="70"/>
    </row>
    <row r="13" spans="1:5" ht="34.5" customHeight="1">
      <c r="A13" s="69"/>
      <c r="B13" s="88" t="s">
        <v>114</v>
      </c>
      <c r="C13" s="256">
        <f>-'A.GASTOS'!H50</f>
        <v>-76769.94</v>
      </c>
      <c r="D13" s="256">
        <f>-ROUND((49905.7*1.5383),2)</f>
        <v>-76769.94</v>
      </c>
      <c r="E13" s="70"/>
    </row>
    <row r="14" spans="1:5" ht="34.5" customHeight="1">
      <c r="A14" s="69"/>
      <c r="B14" s="88" t="s">
        <v>113</v>
      </c>
      <c r="C14" s="256">
        <f>-'A.GASTOS'!F50</f>
        <v>-26073.629999999997</v>
      </c>
      <c r="D14" s="256">
        <f>-ROUND((19731.21*1.5383),2)</f>
        <v>-30352.52</v>
      </c>
      <c r="E14" s="70"/>
    </row>
    <row r="15" spans="1:5" ht="34.5" customHeight="1">
      <c r="A15" s="69"/>
      <c r="B15" s="98" t="s">
        <v>93</v>
      </c>
      <c r="C15" s="256">
        <v>0</v>
      </c>
      <c r="D15" s="256">
        <v>0</v>
      </c>
      <c r="E15" s="70"/>
    </row>
    <row r="16" spans="1:5" ht="34.5" customHeight="1">
      <c r="A16" s="69"/>
      <c r="B16" s="79" t="s">
        <v>94</v>
      </c>
      <c r="C16" s="256">
        <v>0</v>
      </c>
      <c r="D16" s="256">
        <v>0</v>
      </c>
      <c r="E16" s="70"/>
    </row>
    <row r="17" spans="1:5" ht="34.5" customHeight="1">
      <c r="A17" s="69"/>
      <c r="B17" s="177" t="s">
        <v>188</v>
      </c>
      <c r="C17" s="256">
        <f>16068.04-3057.94</f>
        <v>13010.1</v>
      </c>
      <c r="D17" s="256">
        <f>ROUND((13937.47*1.5383),2)</f>
        <v>21440.01</v>
      </c>
      <c r="E17" s="70"/>
    </row>
    <row r="18" spans="1:5" ht="34.5" customHeight="1">
      <c r="A18" s="69"/>
      <c r="B18" s="89" t="s">
        <v>95</v>
      </c>
      <c r="C18" s="256">
        <v>0</v>
      </c>
      <c r="D18" s="256">
        <v>0</v>
      </c>
      <c r="E18" s="70"/>
    </row>
    <row r="19" spans="1:5" s="168" customFormat="1" ht="34.5" customHeight="1">
      <c r="A19" s="178"/>
      <c r="B19" s="180" t="s">
        <v>115</v>
      </c>
      <c r="C19" s="258">
        <f>SUM(C9:C18)</f>
        <v>-78472.38999999998</v>
      </c>
      <c r="D19" s="258">
        <f>SUM(D9:D18)</f>
        <v>-76754.42000000001</v>
      </c>
      <c r="E19" s="179"/>
    </row>
    <row r="20" spans="1:5" ht="34.5" customHeight="1">
      <c r="A20" s="69"/>
      <c r="B20" s="51" t="s">
        <v>167</v>
      </c>
      <c r="C20" s="256">
        <v>0</v>
      </c>
      <c r="D20" s="256">
        <v>0</v>
      </c>
      <c r="E20" s="70"/>
    </row>
    <row r="21" spans="1:5" s="168" customFormat="1" ht="34.5" customHeight="1">
      <c r="A21" s="178"/>
      <c r="B21" s="169" t="s">
        <v>96</v>
      </c>
      <c r="C21" s="259">
        <f>SUM(C19:C20)</f>
        <v>-78472.38999999998</v>
      </c>
      <c r="D21" s="259">
        <f>SUM(D19:D20)</f>
        <v>-76754.42000000001</v>
      </c>
      <c r="E21" s="179"/>
    </row>
    <row r="22" spans="1:5" s="168" customFormat="1" ht="34.5" customHeight="1">
      <c r="A22" s="178"/>
      <c r="B22" s="181" t="s">
        <v>97</v>
      </c>
      <c r="C22" s="259">
        <v>0</v>
      </c>
      <c r="D22" s="259">
        <v>0</v>
      </c>
      <c r="E22" s="179"/>
    </row>
    <row r="23" spans="1:5" s="168" customFormat="1" ht="34.5" customHeight="1" thickBot="1">
      <c r="A23" s="178"/>
      <c r="B23" s="182" t="s">
        <v>22</v>
      </c>
      <c r="C23" s="260">
        <f>SUM(C21:C22)</f>
        <v>-78472.38999999998</v>
      </c>
      <c r="D23" s="260">
        <f>SUM(D21:D22)</f>
        <v>-76754.42000000001</v>
      </c>
      <c r="E23" s="179"/>
    </row>
    <row r="24" spans="1:5" ht="34.5" customHeight="1">
      <c r="A24" s="69"/>
      <c r="E24" s="70"/>
    </row>
    <row r="25" spans="1:5" ht="15" customHeight="1">
      <c r="A25" s="69"/>
      <c r="E25" s="70"/>
    </row>
    <row r="26" spans="1:5" ht="15" customHeight="1">
      <c r="A26" s="69"/>
      <c r="E26" s="70"/>
    </row>
    <row r="27" spans="1:5" ht="15" customHeight="1">
      <c r="A27" s="69"/>
      <c r="E27" s="70"/>
    </row>
    <row r="28" spans="1:5" ht="15" customHeight="1">
      <c r="A28" s="69"/>
      <c r="E28" s="70"/>
    </row>
    <row r="29" spans="1:5" ht="15" customHeight="1">
      <c r="A29" s="69"/>
      <c r="E29" s="70"/>
    </row>
    <row r="30" spans="1:5" ht="15" customHeight="1">
      <c r="A30" s="69"/>
      <c r="E30" s="70"/>
    </row>
    <row r="31" spans="1:5" ht="15" customHeight="1">
      <c r="A31" s="69"/>
      <c r="C31" s="7"/>
      <c r="D31" s="7"/>
      <c r="E31" s="70"/>
    </row>
    <row r="32" spans="1:5" ht="15" customHeight="1">
      <c r="A32" s="69"/>
      <c r="C32" s="7"/>
      <c r="D32" s="7"/>
      <c r="E32" s="70"/>
    </row>
    <row r="33" spans="1:5" ht="15" customHeight="1">
      <c r="A33" s="69"/>
      <c r="B33" s="99"/>
      <c r="C33" s="8"/>
      <c r="D33" s="8"/>
      <c r="E33" s="70"/>
    </row>
    <row r="34" spans="1:5" ht="15" customHeight="1">
      <c r="A34" s="69"/>
      <c r="B34" s="99"/>
      <c r="C34" s="8"/>
      <c r="D34" s="8"/>
      <c r="E34" s="70"/>
    </row>
    <row r="35" spans="1:5" ht="15" customHeight="1">
      <c r="A35" s="69"/>
      <c r="B35" s="99"/>
      <c r="C35" s="8"/>
      <c r="D35" s="8"/>
      <c r="E35" s="70"/>
    </row>
    <row r="36" spans="1:5" ht="15" customHeight="1">
      <c r="A36" s="69"/>
      <c r="B36" s="95" t="s">
        <v>61</v>
      </c>
      <c r="C36" s="66"/>
      <c r="D36" s="9"/>
      <c r="E36" s="70"/>
    </row>
    <row r="37" spans="1:5" ht="15" customHeight="1" thickBot="1">
      <c r="A37" s="74"/>
      <c r="B37" s="75"/>
      <c r="C37" s="10"/>
      <c r="D37" s="10"/>
      <c r="E37" s="100"/>
    </row>
    <row r="38" ht="13.5" thickTop="1"/>
  </sheetData>
  <sheetProtection/>
  <mergeCells count="4">
    <mergeCell ref="B3:D3"/>
    <mergeCell ref="A1:E1"/>
    <mergeCell ref="B4:D4"/>
    <mergeCell ref="B5:D5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8"/>
  <sheetViews>
    <sheetView showGridLines="0" showZeros="0" zoomScale="90" zoomScaleNormal="90" zoomScalePageLayoutView="0" workbookViewId="0" topLeftCell="A11">
      <selection activeCell="N13" sqref="N13:N18"/>
    </sheetView>
  </sheetViews>
  <sheetFormatPr defaultColWidth="11.421875" defaultRowHeight="12.75"/>
  <cols>
    <col min="1" max="1" width="2.7109375" style="16" customWidth="1"/>
    <col min="2" max="2" width="21.00390625" style="16" customWidth="1"/>
    <col min="3" max="3" width="13.00390625" style="244" customWidth="1"/>
    <col min="4" max="4" width="13.140625" style="244" customWidth="1"/>
    <col min="5" max="5" width="11.7109375" style="244" customWidth="1"/>
    <col min="6" max="6" width="15.7109375" style="244" bestFit="1" customWidth="1"/>
    <col min="7" max="7" width="13.00390625" style="244" customWidth="1"/>
    <col min="8" max="8" width="11.7109375" style="244" customWidth="1"/>
    <col min="9" max="9" width="6.7109375" style="244" customWidth="1"/>
    <col min="10" max="11" width="11.7109375" style="244" customWidth="1"/>
    <col min="12" max="12" width="13.140625" style="244" customWidth="1"/>
    <col min="13" max="15" width="15.00390625" style="244" customWidth="1"/>
    <col min="16" max="16" width="2.7109375" style="16" customWidth="1"/>
    <col min="17" max="16384" width="11.421875" style="16" customWidth="1"/>
  </cols>
  <sheetData>
    <row r="1" spans="1:16" ht="33" customHeight="1" thickTop="1">
      <c r="A1" s="13"/>
      <c r="B1" s="403" t="str">
        <f>CARAT!B11</f>
        <v>EL REGRESO S.R.L.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15"/>
    </row>
    <row r="2" spans="1:16" ht="13.5" thickBot="1">
      <c r="A2" s="17"/>
      <c r="B2" s="1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9"/>
    </row>
    <row r="3" spans="1:16" ht="29.25" customHeight="1">
      <c r="A3" s="17"/>
      <c r="B3" s="380" t="s">
        <v>23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/>
      <c r="P3" s="19"/>
    </row>
    <row r="4" spans="1:16" ht="15.75" customHeight="1">
      <c r="A4" s="17"/>
      <c r="B4" s="417" t="str">
        <f>'A.RTDOS'!B5</f>
        <v>Por el ejercicio finalizado el 31/12/2019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9"/>
      <c r="P4" s="19"/>
    </row>
    <row r="5" spans="1:16" ht="15.75" thickBot="1">
      <c r="A5" s="17"/>
      <c r="B5" s="420" t="s">
        <v>69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2"/>
      <c r="P5" s="19"/>
    </row>
    <row r="6" spans="1:16" ht="12.75">
      <c r="A6" s="17"/>
      <c r="B6" s="1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9"/>
    </row>
    <row r="7" spans="1:21" ht="13.5" thickBot="1">
      <c r="A7" s="222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5"/>
      <c r="N7" s="225"/>
      <c r="O7" s="225"/>
      <c r="P7" s="226"/>
      <c r="Q7" s="227"/>
      <c r="R7" s="227"/>
      <c r="S7" s="227"/>
      <c r="T7" s="227"/>
      <c r="U7" s="227"/>
    </row>
    <row r="8" spans="1:21" ht="13.5" customHeight="1" thickBot="1">
      <c r="A8" s="222"/>
      <c r="B8" s="228"/>
      <c r="C8" s="229" t="s">
        <v>24</v>
      </c>
      <c r="D8" s="230"/>
      <c r="E8" s="230"/>
      <c r="F8" s="230"/>
      <c r="G8" s="231"/>
      <c r="H8" s="433" t="s">
        <v>98</v>
      </c>
      <c r="I8" s="434"/>
      <c r="J8" s="434"/>
      <c r="K8" s="434"/>
      <c r="L8" s="434"/>
      <c r="M8" s="435"/>
      <c r="N8" s="411" t="s">
        <v>75</v>
      </c>
      <c r="O8" s="411" t="s">
        <v>198</v>
      </c>
      <c r="P8" s="226"/>
      <c r="Q8" s="227"/>
      <c r="R8" s="227"/>
      <c r="S8" s="227"/>
      <c r="T8" s="227"/>
      <c r="U8" s="227"/>
    </row>
    <row r="9" spans="1:21" ht="19.5" customHeight="1" thickBot="1">
      <c r="A9" s="222"/>
      <c r="B9" s="232"/>
      <c r="C9" s="423" t="s">
        <v>27</v>
      </c>
      <c r="D9" s="423" t="s">
        <v>28</v>
      </c>
      <c r="E9" s="423" t="s">
        <v>105</v>
      </c>
      <c r="F9" s="426" t="s">
        <v>173</v>
      </c>
      <c r="G9" s="428" t="s">
        <v>20</v>
      </c>
      <c r="H9" s="430" t="s">
        <v>25</v>
      </c>
      <c r="I9" s="431"/>
      <c r="J9" s="432"/>
      <c r="K9" s="423" t="s">
        <v>99</v>
      </c>
      <c r="L9" s="423" t="s">
        <v>74</v>
      </c>
      <c r="M9" s="428" t="s">
        <v>20</v>
      </c>
      <c r="N9" s="412"/>
      <c r="O9" s="412"/>
      <c r="P9" s="226"/>
      <c r="Q9" s="227"/>
      <c r="R9" s="227"/>
      <c r="S9" s="227"/>
      <c r="T9" s="227"/>
      <c r="U9" s="227"/>
    </row>
    <row r="10" spans="1:21" ht="54.75" customHeight="1" thickBot="1">
      <c r="A10" s="222"/>
      <c r="B10" s="233" t="s">
        <v>26</v>
      </c>
      <c r="C10" s="424"/>
      <c r="D10" s="425"/>
      <c r="E10" s="425"/>
      <c r="F10" s="427"/>
      <c r="G10" s="429"/>
      <c r="H10" s="234" t="s">
        <v>29</v>
      </c>
      <c r="I10" s="234" t="s">
        <v>30</v>
      </c>
      <c r="J10" s="235" t="s">
        <v>20</v>
      </c>
      <c r="K10" s="425"/>
      <c r="L10" s="425"/>
      <c r="M10" s="429"/>
      <c r="N10" s="413" t="s">
        <v>68</v>
      </c>
      <c r="O10" s="413" t="s">
        <v>68</v>
      </c>
      <c r="P10" s="226"/>
      <c r="Q10" s="227"/>
      <c r="R10" s="227"/>
      <c r="S10" s="331"/>
      <c r="T10" s="227"/>
      <c r="U10" s="227"/>
    </row>
    <row r="11" spans="1:21" ht="24">
      <c r="A11" s="222"/>
      <c r="B11" s="236" t="s">
        <v>31</v>
      </c>
      <c r="C11" s="261">
        <v>5000</v>
      </c>
      <c r="D11" s="261">
        <v>31870.050000000003</v>
      </c>
      <c r="E11" s="261">
        <v>0</v>
      </c>
      <c r="F11" s="261">
        <v>0</v>
      </c>
      <c r="G11" s="261">
        <f>SUM(C11:F11)</f>
        <v>36870.05</v>
      </c>
      <c r="H11" s="261">
        <f>1000+(476.5)</f>
        <v>1476.5</v>
      </c>
      <c r="I11" s="261">
        <v>0</v>
      </c>
      <c r="J11" s="261">
        <v>2271.3</v>
      </c>
      <c r="K11" s="261">
        <v>0</v>
      </c>
      <c r="L11" s="261">
        <v>637447.49</v>
      </c>
      <c r="M11" s="261">
        <f>SUM(K11:L11)</f>
        <v>637447.49</v>
      </c>
      <c r="N11" s="261">
        <f>+G11+J11+M11</f>
        <v>676588.84</v>
      </c>
      <c r="O11" s="262">
        <f>ROUND((517144.13*1.5383),2)</f>
        <v>795522.82</v>
      </c>
      <c r="P11" s="226"/>
      <c r="Q11" s="227"/>
      <c r="R11" s="276"/>
      <c r="S11" s="227"/>
      <c r="T11" s="227"/>
      <c r="U11" s="227"/>
    </row>
    <row r="12" spans="1:21" ht="28.5" customHeight="1" thickBot="1">
      <c r="A12" s="222"/>
      <c r="B12" s="237" t="s">
        <v>190</v>
      </c>
      <c r="C12" s="263">
        <v>0</v>
      </c>
      <c r="D12" s="263">
        <v>0</v>
      </c>
      <c r="E12" s="263">
        <v>0</v>
      </c>
      <c r="F12" s="263">
        <v>0</v>
      </c>
      <c r="G12" s="261">
        <f>SUM(C12:F12)</f>
        <v>0</v>
      </c>
      <c r="H12" s="263">
        <v>0</v>
      </c>
      <c r="I12" s="263">
        <v>0</v>
      </c>
      <c r="J12" s="261">
        <f>SUM(H12:I12)</f>
        <v>0</v>
      </c>
      <c r="K12" s="263">
        <v>0</v>
      </c>
      <c r="L12" s="263">
        <v>0</v>
      </c>
      <c r="M12" s="261">
        <f>SUM(K12:L12)</f>
        <v>0</v>
      </c>
      <c r="N12" s="261">
        <f>+G12+J12+M12</f>
        <v>0</v>
      </c>
      <c r="O12" s="264">
        <v>0</v>
      </c>
      <c r="P12" s="226"/>
      <c r="Q12" s="227"/>
      <c r="R12" s="276"/>
      <c r="S12" s="227"/>
      <c r="T12" s="227"/>
      <c r="U12" s="227"/>
    </row>
    <row r="13" spans="1:21" ht="30" customHeight="1" thickBot="1">
      <c r="A13" s="222"/>
      <c r="B13" s="238" t="s">
        <v>100</v>
      </c>
      <c r="C13" s="265">
        <f>SUM(C11:C12)</f>
        <v>5000</v>
      </c>
      <c r="D13" s="265">
        <f aca="true" t="shared" si="0" ref="D13:O13">SUM(D11:D12)</f>
        <v>31870.050000000003</v>
      </c>
      <c r="E13" s="265">
        <f t="shared" si="0"/>
        <v>0</v>
      </c>
      <c r="F13" s="265">
        <f t="shared" si="0"/>
        <v>0</v>
      </c>
      <c r="G13" s="265">
        <f t="shared" si="0"/>
        <v>36870.05</v>
      </c>
      <c r="H13" s="265">
        <f t="shared" si="0"/>
        <v>1476.5</v>
      </c>
      <c r="I13" s="265">
        <f t="shared" si="0"/>
        <v>0</v>
      </c>
      <c r="J13" s="265">
        <f t="shared" si="0"/>
        <v>2271.3</v>
      </c>
      <c r="K13" s="265">
        <f t="shared" si="0"/>
        <v>0</v>
      </c>
      <c r="L13" s="265">
        <f t="shared" si="0"/>
        <v>637447.49</v>
      </c>
      <c r="M13" s="265">
        <f t="shared" si="0"/>
        <v>637447.49</v>
      </c>
      <c r="N13" s="265">
        <f t="shared" si="0"/>
        <v>676588.84</v>
      </c>
      <c r="O13" s="266">
        <f t="shared" si="0"/>
        <v>795522.82</v>
      </c>
      <c r="P13" s="226"/>
      <c r="Q13" s="276"/>
      <c r="R13" s="276"/>
      <c r="S13" s="276"/>
      <c r="T13" s="276"/>
      <c r="U13" s="227"/>
    </row>
    <row r="14" spans="1:21" ht="30" customHeight="1">
      <c r="A14" s="222"/>
      <c r="B14" s="239" t="s">
        <v>168</v>
      </c>
      <c r="C14" s="261">
        <v>0</v>
      </c>
      <c r="D14" s="261">
        <v>0</v>
      </c>
      <c r="E14" s="261">
        <v>0</v>
      </c>
      <c r="F14" s="261">
        <v>0</v>
      </c>
      <c r="G14" s="261">
        <f>SUM(C14:F14)</f>
        <v>0</v>
      </c>
      <c r="H14" s="261"/>
      <c r="I14" s="261"/>
      <c r="J14" s="261">
        <f aca="true" t="shared" si="1" ref="J14:J21">SUM(H14:I14)</f>
        <v>0</v>
      </c>
      <c r="K14" s="261"/>
      <c r="L14" s="261"/>
      <c r="M14" s="261">
        <f aca="true" t="shared" si="2" ref="M14:M21">SUM(K14:L14)</f>
        <v>0</v>
      </c>
      <c r="N14" s="261">
        <f aca="true" t="shared" si="3" ref="N14:N21">+G14+J14+M14</f>
        <v>0</v>
      </c>
      <c r="O14" s="262">
        <v>0</v>
      </c>
      <c r="P14" s="226"/>
      <c r="Q14" s="227"/>
      <c r="R14" s="227"/>
      <c r="S14" s="227"/>
      <c r="T14" s="227"/>
      <c r="U14" s="227"/>
    </row>
    <row r="15" spans="1:21" ht="39.75" customHeight="1">
      <c r="A15" s="222"/>
      <c r="B15" s="239" t="s">
        <v>101</v>
      </c>
      <c r="C15" s="267">
        <v>0</v>
      </c>
      <c r="D15" s="267">
        <v>0</v>
      </c>
      <c r="E15" s="267">
        <v>0</v>
      </c>
      <c r="F15" s="267">
        <v>0</v>
      </c>
      <c r="G15" s="261">
        <f aca="true" t="shared" si="4" ref="G15:G21">SUM(C15:F15)</f>
        <v>0</v>
      </c>
      <c r="H15" s="267"/>
      <c r="I15" s="267"/>
      <c r="J15" s="261">
        <f t="shared" si="1"/>
        <v>0</v>
      </c>
      <c r="K15" s="267"/>
      <c r="L15" s="267"/>
      <c r="M15" s="261">
        <f t="shared" si="2"/>
        <v>0</v>
      </c>
      <c r="N15" s="261">
        <f t="shared" si="3"/>
        <v>0</v>
      </c>
      <c r="O15" s="268">
        <v>0</v>
      </c>
      <c r="P15" s="226"/>
      <c r="Q15" s="227"/>
      <c r="R15" s="331"/>
      <c r="S15" s="227"/>
      <c r="T15" s="227"/>
      <c r="U15" s="227"/>
    </row>
    <row r="16" spans="1:21" ht="36" customHeight="1">
      <c r="A16" s="222"/>
      <c r="B16" s="240" t="s">
        <v>65</v>
      </c>
      <c r="C16" s="267"/>
      <c r="D16" s="267"/>
      <c r="E16" s="267"/>
      <c r="F16" s="267"/>
      <c r="G16" s="261"/>
      <c r="H16" s="267"/>
      <c r="I16" s="267"/>
      <c r="J16" s="261"/>
      <c r="K16" s="267"/>
      <c r="L16" s="267"/>
      <c r="M16" s="261"/>
      <c r="N16" s="261"/>
      <c r="O16" s="268"/>
      <c r="P16" s="226"/>
      <c r="Q16" s="227"/>
      <c r="R16" s="227"/>
      <c r="S16" s="227"/>
      <c r="T16" s="276"/>
      <c r="U16" s="227"/>
    </row>
    <row r="17" spans="1:21" ht="30" customHeight="1">
      <c r="A17" s="222"/>
      <c r="B17" s="237" t="s">
        <v>32</v>
      </c>
      <c r="C17" s="267"/>
      <c r="D17" s="267"/>
      <c r="E17" s="267"/>
      <c r="F17" s="267"/>
      <c r="G17" s="261">
        <f t="shared" si="4"/>
        <v>0</v>
      </c>
      <c r="H17" s="267">
        <v>0</v>
      </c>
      <c r="I17" s="267"/>
      <c r="J17" s="261">
        <f t="shared" si="1"/>
        <v>0</v>
      </c>
      <c r="K17" s="267"/>
      <c r="L17" s="267">
        <v>0</v>
      </c>
      <c r="M17" s="261">
        <f t="shared" si="2"/>
        <v>0</v>
      </c>
      <c r="N17" s="261">
        <f t="shared" si="3"/>
        <v>0</v>
      </c>
      <c r="O17" s="268">
        <v>0</v>
      </c>
      <c r="P17" s="226"/>
      <c r="Q17" s="227"/>
      <c r="R17" s="227"/>
      <c r="S17" s="227"/>
      <c r="T17" s="276"/>
      <c r="U17" s="227"/>
    </row>
    <row r="18" spans="1:21" ht="39" customHeight="1">
      <c r="A18" s="222"/>
      <c r="B18" s="237" t="s">
        <v>102</v>
      </c>
      <c r="C18" s="267"/>
      <c r="D18" s="267"/>
      <c r="E18" s="267"/>
      <c r="F18" s="267"/>
      <c r="G18" s="261">
        <f t="shared" si="4"/>
        <v>0</v>
      </c>
      <c r="H18" s="267"/>
      <c r="I18" s="267"/>
      <c r="J18" s="261">
        <f t="shared" si="1"/>
        <v>0</v>
      </c>
      <c r="K18" s="267"/>
      <c r="L18" s="267">
        <v>-13536.82</v>
      </c>
      <c r="M18" s="261">
        <f t="shared" si="2"/>
        <v>-13536.82</v>
      </c>
      <c r="N18" s="261">
        <f t="shared" si="3"/>
        <v>-13536.82</v>
      </c>
      <c r="O18" s="268">
        <f>-ROUND((27419.59*1.5383),2)</f>
        <v>-42179.56</v>
      </c>
      <c r="P18" s="226"/>
      <c r="Q18" s="227"/>
      <c r="R18" s="227"/>
      <c r="S18" s="227"/>
      <c r="T18" s="227"/>
      <c r="U18" s="227"/>
    </row>
    <row r="19" spans="1:21" ht="34.5" customHeight="1">
      <c r="A19" s="222"/>
      <c r="B19" s="237" t="s">
        <v>103</v>
      </c>
      <c r="C19" s="267">
        <v>0</v>
      </c>
      <c r="D19" s="267">
        <v>0</v>
      </c>
      <c r="E19" s="267"/>
      <c r="F19" s="267">
        <v>0</v>
      </c>
      <c r="G19" s="261">
        <f t="shared" si="4"/>
        <v>0</v>
      </c>
      <c r="H19" s="267"/>
      <c r="I19" s="267"/>
      <c r="J19" s="261">
        <f t="shared" si="1"/>
        <v>0</v>
      </c>
      <c r="K19" s="267"/>
      <c r="L19" s="267">
        <v>0</v>
      </c>
      <c r="M19" s="261">
        <f t="shared" si="2"/>
        <v>0</v>
      </c>
      <c r="N19" s="261">
        <f t="shared" si="3"/>
        <v>0</v>
      </c>
      <c r="O19" s="268">
        <v>0</v>
      </c>
      <c r="P19" s="226"/>
      <c r="Q19" s="227"/>
      <c r="R19" s="227"/>
      <c r="S19" s="227"/>
      <c r="T19" s="227"/>
      <c r="U19" s="227"/>
    </row>
    <row r="20" spans="1:21" ht="34.5" customHeight="1">
      <c r="A20" s="222"/>
      <c r="B20" s="237" t="s">
        <v>104</v>
      </c>
      <c r="C20" s="267"/>
      <c r="D20" s="267"/>
      <c r="E20" s="267"/>
      <c r="F20" s="267"/>
      <c r="G20" s="261">
        <f t="shared" si="4"/>
        <v>0</v>
      </c>
      <c r="H20" s="267"/>
      <c r="I20" s="267"/>
      <c r="J20" s="261">
        <f t="shared" si="1"/>
        <v>0</v>
      </c>
      <c r="K20" s="267"/>
      <c r="L20" s="267">
        <v>0</v>
      </c>
      <c r="M20" s="261">
        <f t="shared" si="2"/>
        <v>0</v>
      </c>
      <c r="N20" s="261">
        <f t="shared" si="3"/>
        <v>0</v>
      </c>
      <c r="O20" s="268">
        <v>0</v>
      </c>
      <c r="P20" s="226"/>
      <c r="Q20" s="227"/>
      <c r="R20" s="227"/>
      <c r="S20" s="227"/>
      <c r="T20" s="227"/>
      <c r="U20" s="227"/>
    </row>
    <row r="21" spans="1:21" ht="33" customHeight="1" thickBot="1">
      <c r="A21" s="222"/>
      <c r="B21" s="241" t="s">
        <v>22</v>
      </c>
      <c r="C21" s="263"/>
      <c r="D21" s="263"/>
      <c r="E21" s="263"/>
      <c r="F21" s="263"/>
      <c r="G21" s="269">
        <f t="shared" si="4"/>
        <v>0</v>
      </c>
      <c r="H21" s="263"/>
      <c r="I21" s="263"/>
      <c r="J21" s="269">
        <f t="shared" si="1"/>
        <v>0</v>
      </c>
      <c r="K21" s="263"/>
      <c r="L21" s="263">
        <f>'E.RESUL'!C23</f>
        <v>-78472.38999999998</v>
      </c>
      <c r="M21" s="269">
        <f t="shared" si="2"/>
        <v>-78472.38999999998</v>
      </c>
      <c r="N21" s="261">
        <f t="shared" si="3"/>
        <v>-78472.38999999998</v>
      </c>
      <c r="O21" s="272">
        <f>+'E.RESUL'!D23</f>
        <v>-76754.42000000001</v>
      </c>
      <c r="P21" s="226"/>
      <c r="Q21" s="227"/>
      <c r="R21" s="227"/>
      <c r="S21" s="227"/>
      <c r="T21" s="227"/>
      <c r="U21" s="227"/>
    </row>
    <row r="22" spans="1:21" ht="39.75" customHeight="1" thickBot="1">
      <c r="A22" s="222"/>
      <c r="B22" s="242" t="s">
        <v>33</v>
      </c>
      <c r="C22" s="270">
        <f>SUM(C13:C21)</f>
        <v>5000</v>
      </c>
      <c r="D22" s="270">
        <f aca="true" t="shared" si="5" ref="D22:O22">SUM(D13:D21)</f>
        <v>31870.050000000003</v>
      </c>
      <c r="E22" s="270">
        <f t="shared" si="5"/>
        <v>0</v>
      </c>
      <c r="F22" s="270">
        <f t="shared" si="5"/>
        <v>0</v>
      </c>
      <c r="G22" s="270">
        <f t="shared" si="5"/>
        <v>36870.05</v>
      </c>
      <c r="H22" s="270">
        <f t="shared" si="5"/>
        <v>1476.5</v>
      </c>
      <c r="I22" s="270">
        <f t="shared" si="5"/>
        <v>0</v>
      </c>
      <c r="J22" s="270">
        <f t="shared" si="5"/>
        <v>2271.3</v>
      </c>
      <c r="K22" s="270">
        <f t="shared" si="5"/>
        <v>0</v>
      </c>
      <c r="L22" s="270">
        <f t="shared" si="5"/>
        <v>545438.28</v>
      </c>
      <c r="M22" s="270">
        <f t="shared" si="5"/>
        <v>545438.28</v>
      </c>
      <c r="N22" s="270">
        <f t="shared" si="5"/>
        <v>584579.63</v>
      </c>
      <c r="O22" s="270">
        <f t="shared" si="5"/>
        <v>676588.84</v>
      </c>
      <c r="P22" s="226"/>
      <c r="Q22" s="243"/>
      <c r="R22" s="276"/>
      <c r="S22" s="227"/>
      <c r="T22" s="227"/>
      <c r="U22" s="227"/>
    </row>
    <row r="23" spans="1:21" ht="15" customHeight="1">
      <c r="A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N23" s="16"/>
      <c r="O23" s="16"/>
      <c r="P23" s="226"/>
      <c r="Q23" s="227"/>
      <c r="R23" s="227"/>
      <c r="S23" s="227"/>
      <c r="T23" s="227"/>
      <c r="U23" s="227"/>
    </row>
    <row r="24" spans="1:21" ht="15" customHeight="1">
      <c r="A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N24" s="328"/>
      <c r="O24" s="328"/>
      <c r="P24" s="226"/>
      <c r="Q24" s="227"/>
      <c r="R24" s="227"/>
      <c r="S24" s="227"/>
      <c r="T24" s="227"/>
      <c r="U24" s="227"/>
    </row>
    <row r="25" spans="1:21" ht="15" customHeight="1">
      <c r="A25" s="17"/>
      <c r="C25" s="16"/>
      <c r="D25" s="16"/>
      <c r="E25" s="16"/>
      <c r="F25" s="16"/>
      <c r="G25" s="16"/>
      <c r="H25" s="16"/>
      <c r="I25" s="16"/>
      <c r="J25" s="16"/>
      <c r="K25" s="16"/>
      <c r="L25" s="163"/>
      <c r="N25" s="16"/>
      <c r="O25" s="163"/>
      <c r="P25" s="226"/>
      <c r="Q25" s="227"/>
      <c r="R25" s="227"/>
      <c r="S25" s="227"/>
      <c r="T25" s="227"/>
      <c r="U25" s="227"/>
    </row>
    <row r="26" spans="1:21" ht="15" customHeight="1" thickBot="1">
      <c r="A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N26" s="16"/>
      <c r="O26" s="16"/>
      <c r="P26" s="226"/>
      <c r="Q26" s="227"/>
      <c r="R26" s="227"/>
      <c r="S26" s="227"/>
      <c r="T26" s="227"/>
      <c r="U26" s="227"/>
    </row>
    <row r="27" spans="1:21" ht="15" customHeight="1" thickBot="1">
      <c r="A27" s="17"/>
      <c r="B27" s="245" t="s">
        <v>61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7"/>
      <c r="O27" s="248"/>
      <c r="P27" s="226"/>
      <c r="Q27" s="227"/>
      <c r="R27" s="227"/>
      <c r="S27" s="227"/>
      <c r="T27" s="227"/>
      <c r="U27" s="227"/>
    </row>
    <row r="28" spans="1:21" ht="15" customHeight="1" thickBot="1">
      <c r="A28" s="249"/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100"/>
      <c r="Q28" s="227"/>
      <c r="R28" s="227"/>
      <c r="S28" s="227"/>
      <c r="T28" s="227"/>
      <c r="U28" s="227"/>
    </row>
    <row r="29" ht="30" customHeight="1" thickTop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16">
    <mergeCell ref="G9:G10"/>
    <mergeCell ref="H9:J9"/>
    <mergeCell ref="H8:M8"/>
    <mergeCell ref="K9:K10"/>
    <mergeCell ref="L9:L10"/>
    <mergeCell ref="M9:M10"/>
    <mergeCell ref="N8:N10"/>
    <mergeCell ref="O8:O10"/>
    <mergeCell ref="B1:O1"/>
    <mergeCell ref="B3:O3"/>
    <mergeCell ref="B4:O4"/>
    <mergeCell ref="B5:O5"/>
    <mergeCell ref="C9:C10"/>
    <mergeCell ref="D9:D10"/>
    <mergeCell ref="E9:E10"/>
    <mergeCell ref="F9:F10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27"/>
  <sheetViews>
    <sheetView showGridLines="0" showZeros="0" zoomScale="85" zoomScaleNormal="85" zoomScalePageLayoutView="0" workbookViewId="0" topLeftCell="A1">
      <selection activeCell="B5" sqref="B5:O5"/>
    </sheetView>
  </sheetViews>
  <sheetFormatPr defaultColWidth="11.421875" defaultRowHeight="12.75"/>
  <cols>
    <col min="1" max="1" width="2.7109375" style="12" customWidth="1"/>
    <col min="2" max="2" width="14.421875" style="12" customWidth="1"/>
    <col min="3" max="3" width="13.7109375" style="12" customWidth="1"/>
    <col min="4" max="4" width="11.57421875" style="12" customWidth="1"/>
    <col min="5" max="5" width="9.7109375" style="12" customWidth="1"/>
    <col min="6" max="7" width="6.7109375" style="12" customWidth="1"/>
    <col min="8" max="8" width="14.7109375" style="12" customWidth="1"/>
    <col min="9" max="9" width="13.7109375" style="12" customWidth="1"/>
    <col min="10" max="10" width="10.140625" style="12" customWidth="1"/>
    <col min="11" max="12" width="6.7109375" style="12" customWidth="1"/>
    <col min="13" max="13" width="12.00390625" style="12" customWidth="1"/>
    <col min="14" max="16" width="13.7109375" style="12" customWidth="1"/>
    <col min="17" max="17" width="2.7109375" style="12" customWidth="1"/>
    <col min="18" max="16384" width="11.421875" style="12" customWidth="1"/>
  </cols>
  <sheetData>
    <row r="1" spans="1:17" ht="23.25" customHeight="1">
      <c r="A1" s="101"/>
      <c r="B1" s="436" t="str">
        <f>CARAT!B11</f>
        <v>EL REGRESO S.R.L.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334"/>
      <c r="Q1" s="102"/>
    </row>
    <row r="2" spans="1:17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3" t="s">
        <v>77</v>
      </c>
      <c r="O2" s="1"/>
      <c r="P2" s="1"/>
      <c r="Q2" s="103"/>
    </row>
    <row r="3" spans="1:17" ht="15" customHeight="1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3"/>
    </row>
    <row r="4" spans="1:17" ht="20.25" customHeight="1">
      <c r="A4" s="2"/>
      <c r="B4" s="437" t="s">
        <v>34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9"/>
      <c r="P4" s="338"/>
      <c r="Q4" s="103"/>
    </row>
    <row r="5" spans="1:17" ht="16.5" thickBot="1">
      <c r="A5" s="2"/>
      <c r="B5" s="440" t="s">
        <v>203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2"/>
      <c r="P5" s="339"/>
      <c r="Q5" s="103"/>
    </row>
    <row r="6" spans="1:17" ht="15" customHeight="1">
      <c r="A6" s="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03"/>
    </row>
    <row r="7" spans="1:17" ht="15" customHeight="1" thickBo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77"/>
      <c r="N7" s="1"/>
      <c r="O7" s="1"/>
      <c r="P7" s="1"/>
      <c r="Q7" s="103"/>
    </row>
    <row r="8" spans="1:17" ht="15" customHeight="1" thickBot="1">
      <c r="A8" s="2"/>
      <c r="B8" s="25"/>
      <c r="C8" s="26" t="s">
        <v>35</v>
      </c>
      <c r="D8" s="27"/>
      <c r="E8" s="27"/>
      <c r="F8" s="27"/>
      <c r="G8" s="27"/>
      <c r="H8" s="28"/>
      <c r="I8" s="29" t="s">
        <v>36</v>
      </c>
      <c r="J8" s="30"/>
      <c r="K8" s="30"/>
      <c r="L8" s="30"/>
      <c r="M8" s="30"/>
      <c r="N8" s="31"/>
      <c r="O8" s="336" t="s">
        <v>37</v>
      </c>
      <c r="P8" s="336" t="s">
        <v>37</v>
      </c>
      <c r="Q8" s="103"/>
    </row>
    <row r="9" spans="1:17" ht="39" customHeight="1" thickBot="1">
      <c r="A9" s="2"/>
      <c r="B9" s="32" t="s">
        <v>38</v>
      </c>
      <c r="C9" s="33" t="s">
        <v>39</v>
      </c>
      <c r="D9" s="59" t="s">
        <v>40</v>
      </c>
      <c r="E9" s="34" t="s">
        <v>41</v>
      </c>
      <c r="F9" s="33" t="s">
        <v>42</v>
      </c>
      <c r="G9" s="33" t="s">
        <v>43</v>
      </c>
      <c r="H9" s="33" t="s">
        <v>44</v>
      </c>
      <c r="I9" s="33" t="s">
        <v>45</v>
      </c>
      <c r="J9" s="34" t="s">
        <v>41</v>
      </c>
      <c r="K9" s="33" t="s">
        <v>42</v>
      </c>
      <c r="L9" s="33" t="s">
        <v>43</v>
      </c>
      <c r="M9" s="33" t="s">
        <v>46</v>
      </c>
      <c r="N9" s="33" t="s">
        <v>47</v>
      </c>
      <c r="O9" s="337" t="s">
        <v>201</v>
      </c>
      <c r="P9" s="337" t="s">
        <v>202</v>
      </c>
      <c r="Q9" s="103"/>
    </row>
    <row r="10" spans="1:19" ht="24.75" customHeight="1">
      <c r="A10" s="2"/>
      <c r="B10" s="135" t="s">
        <v>48</v>
      </c>
      <c r="C10" s="133">
        <f>ROUND((623821.25*1.5383),2)</f>
        <v>959624.23</v>
      </c>
      <c r="D10" s="129">
        <v>0</v>
      </c>
      <c r="E10" s="129">
        <v>0</v>
      </c>
      <c r="F10" s="129">
        <v>0</v>
      </c>
      <c r="G10" s="129">
        <v>0</v>
      </c>
      <c r="H10" s="129">
        <f aca="true" t="shared" si="0" ref="H10:H18">C10+D10-E10+F10-G10</f>
        <v>959624.23</v>
      </c>
      <c r="I10" s="129">
        <f>ROUND((249528.5*1.5383),2)</f>
        <v>383849.69</v>
      </c>
      <c r="J10" s="129">
        <v>0</v>
      </c>
      <c r="K10" s="129">
        <v>0</v>
      </c>
      <c r="L10" s="129">
        <v>0</v>
      </c>
      <c r="M10" s="129">
        <v>95962.42</v>
      </c>
      <c r="N10" s="129">
        <f aca="true" t="shared" si="1" ref="N10:N18">I10-J10+K10-L10+M10</f>
        <v>479812.11</v>
      </c>
      <c r="O10" s="134">
        <f aca="true" t="shared" si="2" ref="O10:O18">H10-N10</f>
        <v>479812.12</v>
      </c>
      <c r="P10" s="134">
        <f>+O10+M10</f>
        <v>575774.54</v>
      </c>
      <c r="Q10" s="103"/>
      <c r="R10" s="275"/>
      <c r="S10" s="275"/>
    </row>
    <row r="11" spans="1:17" ht="24.75" customHeight="1">
      <c r="A11" s="2"/>
      <c r="B11" s="135" t="s">
        <v>63</v>
      </c>
      <c r="C11" s="133">
        <f>ROUND((823887*1.5383),2)</f>
        <v>1267385.37</v>
      </c>
      <c r="D11" s="129">
        <v>0</v>
      </c>
      <c r="E11" s="129">
        <v>0</v>
      </c>
      <c r="F11" s="129">
        <v>0</v>
      </c>
      <c r="G11" s="129">
        <v>0</v>
      </c>
      <c r="H11" s="129">
        <f t="shared" si="0"/>
        <v>1267385.37</v>
      </c>
      <c r="I11" s="129">
        <f>ROUND((823887*1.5383),2)</f>
        <v>1267385.37</v>
      </c>
      <c r="J11" s="129">
        <v>0</v>
      </c>
      <c r="K11" s="129">
        <v>0</v>
      </c>
      <c r="L11" s="129">
        <v>0</v>
      </c>
      <c r="M11" s="129">
        <v>0</v>
      </c>
      <c r="N11" s="129">
        <f t="shared" si="1"/>
        <v>1267385.37</v>
      </c>
      <c r="O11" s="134">
        <f t="shared" si="2"/>
        <v>0</v>
      </c>
      <c r="P11" s="134">
        <f>+O11+M11</f>
        <v>0</v>
      </c>
      <c r="Q11" s="103"/>
    </row>
    <row r="12" spans="1:20" ht="24.75" customHeight="1">
      <c r="A12" s="2"/>
      <c r="B12" s="135"/>
      <c r="C12" s="133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si="0"/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f t="shared" si="1"/>
        <v>0</v>
      </c>
      <c r="O12" s="134">
        <f t="shared" si="2"/>
        <v>0</v>
      </c>
      <c r="P12" s="134"/>
      <c r="Q12" s="103"/>
      <c r="S12" s="278"/>
      <c r="T12" s="278"/>
    </row>
    <row r="13" spans="1:20" ht="24.75" customHeight="1">
      <c r="A13" s="2"/>
      <c r="B13" s="135"/>
      <c r="C13" s="133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f t="shared" si="0"/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f t="shared" si="1"/>
        <v>0</v>
      </c>
      <c r="O13" s="134">
        <f t="shared" si="2"/>
        <v>0</v>
      </c>
      <c r="P13" s="134"/>
      <c r="Q13" s="103"/>
      <c r="T13" s="278"/>
    </row>
    <row r="14" spans="1:20" ht="24.75" customHeight="1">
      <c r="A14" s="2"/>
      <c r="B14" s="135"/>
      <c r="C14" s="133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f t="shared" si="0"/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f t="shared" si="1"/>
        <v>0</v>
      </c>
      <c r="O14" s="134">
        <f t="shared" si="2"/>
        <v>0</v>
      </c>
      <c r="P14" s="134"/>
      <c r="Q14" s="103"/>
      <c r="T14" s="278"/>
    </row>
    <row r="15" spans="1:17" ht="24.75" customHeight="1">
      <c r="A15" s="2"/>
      <c r="B15" s="132"/>
      <c r="C15" s="133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f t="shared" si="0"/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f t="shared" si="1"/>
        <v>0</v>
      </c>
      <c r="O15" s="134">
        <f t="shared" si="2"/>
        <v>0</v>
      </c>
      <c r="P15" s="134"/>
      <c r="Q15" s="103"/>
    </row>
    <row r="16" spans="1:17" ht="24.75" customHeight="1">
      <c r="A16" s="2"/>
      <c r="B16" s="135"/>
      <c r="C16" s="137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f t="shared" si="0"/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f t="shared" si="1"/>
        <v>0</v>
      </c>
      <c r="O16" s="129">
        <f t="shared" si="2"/>
        <v>0</v>
      </c>
      <c r="P16" s="129"/>
      <c r="Q16" s="103"/>
    </row>
    <row r="17" spans="1:17" ht="24.75" customHeight="1">
      <c r="A17" s="2"/>
      <c r="B17" s="136"/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f t="shared" si="0"/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f t="shared" si="1"/>
        <v>0</v>
      </c>
      <c r="O17" s="129">
        <f t="shared" si="2"/>
        <v>0</v>
      </c>
      <c r="P17" s="129"/>
      <c r="Q17" s="103"/>
    </row>
    <row r="18" spans="1:17" ht="24.75" customHeight="1" thickBot="1">
      <c r="A18" s="2"/>
      <c r="B18" s="138"/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f t="shared" si="0"/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f t="shared" si="1"/>
        <v>0</v>
      </c>
      <c r="O18" s="139">
        <f t="shared" si="2"/>
        <v>0</v>
      </c>
      <c r="P18" s="139"/>
      <c r="Q18" s="103"/>
    </row>
    <row r="19" spans="1:18" ht="24.75" customHeight="1" thickBot="1">
      <c r="A19" s="2"/>
      <c r="B19" s="35" t="s">
        <v>49</v>
      </c>
      <c r="C19" s="130">
        <f aca="true" t="shared" si="3" ref="C19:P19">SUM(C10:C18)</f>
        <v>2227009.6</v>
      </c>
      <c r="D19" s="130">
        <f>SUM(D10:D18)</f>
        <v>0</v>
      </c>
      <c r="E19" s="130">
        <f>SUM(E10:E18)</f>
        <v>0</v>
      </c>
      <c r="F19" s="140">
        <f t="shared" si="3"/>
        <v>0</v>
      </c>
      <c r="G19" s="140">
        <f t="shared" si="3"/>
        <v>0</v>
      </c>
      <c r="H19" s="131">
        <f t="shared" si="3"/>
        <v>2227009.6</v>
      </c>
      <c r="I19" s="131">
        <f t="shared" si="3"/>
        <v>1651235.06</v>
      </c>
      <c r="J19" s="131">
        <f t="shared" si="3"/>
        <v>0</v>
      </c>
      <c r="K19" s="140">
        <f t="shared" si="3"/>
        <v>0</v>
      </c>
      <c r="L19" s="140">
        <f t="shared" si="3"/>
        <v>0</v>
      </c>
      <c r="M19" s="130">
        <f t="shared" si="3"/>
        <v>95962.42</v>
      </c>
      <c r="N19" s="130">
        <f t="shared" si="3"/>
        <v>1747197.48</v>
      </c>
      <c r="O19" s="131">
        <f t="shared" si="3"/>
        <v>479812.12</v>
      </c>
      <c r="P19" s="131">
        <f t="shared" si="3"/>
        <v>575774.54</v>
      </c>
      <c r="Q19" s="103"/>
      <c r="R19" s="278"/>
    </row>
    <row r="20" spans="1:17" ht="19.5" customHeight="1">
      <c r="A20" s="2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103"/>
    </row>
    <row r="21" spans="1:17" ht="19.5" customHeight="1">
      <c r="A21" s="2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103"/>
    </row>
    <row r="22" spans="1:17" ht="19.5" customHeight="1">
      <c r="A22" s="2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103"/>
    </row>
    <row r="23" spans="1:17" ht="19.5" customHeight="1">
      <c r="A23" s="2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103"/>
    </row>
    <row r="24" spans="1:17" ht="19.5" customHeight="1">
      <c r="A24" s="2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103"/>
    </row>
    <row r="25" spans="1:17" ht="19.5" customHeight="1">
      <c r="A25" s="2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103"/>
    </row>
    <row r="26" spans="1:17" ht="15" customHeight="1">
      <c r="A26" s="2"/>
      <c r="B26" s="340" t="s">
        <v>61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2"/>
      <c r="P26" s="342"/>
      <c r="Q26" s="103"/>
    </row>
    <row r="27" spans="1:17" ht="15" customHeight="1" thickBo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252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3">
    <mergeCell ref="B1:O1"/>
    <mergeCell ref="B4:O4"/>
    <mergeCell ref="B5:O5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showGridLines="0" zoomScale="80" zoomScaleNormal="80" zoomScalePageLayoutView="0" workbookViewId="0" topLeftCell="A4">
      <selection activeCell="C13" sqref="C13"/>
    </sheetView>
  </sheetViews>
  <sheetFormatPr defaultColWidth="11.421875" defaultRowHeight="12.75"/>
  <cols>
    <col min="1" max="1" width="2.7109375" style="7" customWidth="1"/>
    <col min="2" max="2" width="32.7109375" style="7" customWidth="1"/>
    <col min="3" max="4" width="15.7109375" style="11" customWidth="1"/>
    <col min="5" max="5" width="3.7109375" style="7" customWidth="1"/>
    <col min="6" max="6" width="32.7109375" style="7" customWidth="1"/>
    <col min="7" max="8" width="15.7109375" style="11" customWidth="1"/>
    <col min="9" max="9" width="2.7109375" style="7" customWidth="1"/>
    <col min="10" max="10" width="10.7109375" style="7" customWidth="1"/>
    <col min="11" max="11" width="12.00390625" style="7" bestFit="1" customWidth="1"/>
    <col min="12" max="16384" width="11.421875" style="7" customWidth="1"/>
  </cols>
  <sheetData>
    <row r="1" spans="1:9" ht="18.75" customHeight="1" thickTop="1">
      <c r="A1" s="67"/>
      <c r="B1" s="403" t="str">
        <f>CARAT!B11</f>
        <v>EL REGRESO S.R.L.</v>
      </c>
      <c r="C1" s="414"/>
      <c r="D1" s="414"/>
      <c r="E1" s="414"/>
      <c r="F1" s="414"/>
      <c r="G1" s="414"/>
      <c r="H1" s="414"/>
      <c r="I1" s="68"/>
    </row>
    <row r="2" spans="1:9" ht="15" customHeight="1" thickBot="1">
      <c r="A2" s="69"/>
      <c r="B2" s="71"/>
      <c r="C2" s="3"/>
      <c r="D2" s="3"/>
      <c r="E2" s="71"/>
      <c r="F2" s="71"/>
      <c r="G2" s="3"/>
      <c r="H2" s="3"/>
      <c r="I2" s="70"/>
    </row>
    <row r="3" spans="1:9" ht="19.5" customHeight="1">
      <c r="A3" s="69"/>
      <c r="B3" s="380" t="s">
        <v>195</v>
      </c>
      <c r="C3" s="443"/>
      <c r="D3" s="443"/>
      <c r="E3" s="443"/>
      <c r="F3" s="443"/>
      <c r="G3" s="443"/>
      <c r="H3" s="444"/>
      <c r="I3" s="70"/>
    </row>
    <row r="4" spans="1:9" ht="15" customHeight="1" thickBot="1">
      <c r="A4" s="69"/>
      <c r="B4" s="81" t="s">
        <v>69</v>
      </c>
      <c r="C4" s="65"/>
      <c r="D4" s="65"/>
      <c r="E4" s="82"/>
      <c r="F4" s="82"/>
      <c r="G4" s="65"/>
      <c r="H4" s="4"/>
      <c r="I4" s="70"/>
    </row>
    <row r="5" spans="1:9" ht="15" customHeight="1" thickBot="1">
      <c r="A5" s="69"/>
      <c r="B5" s="83"/>
      <c r="C5" s="64"/>
      <c r="D5" s="64"/>
      <c r="E5" s="83"/>
      <c r="F5" s="83"/>
      <c r="G5" s="64"/>
      <c r="H5" s="64"/>
      <c r="I5" s="70"/>
    </row>
    <row r="6" spans="1:9" ht="47.25" customHeight="1" thickBot="1">
      <c r="A6" s="69"/>
      <c r="B6" s="97"/>
      <c r="C6" s="108" t="s">
        <v>72</v>
      </c>
      <c r="D6" s="108" t="s">
        <v>189</v>
      </c>
      <c r="E6" s="83"/>
      <c r="F6" s="84"/>
      <c r="G6" s="108" t="s">
        <v>72</v>
      </c>
      <c r="H6" s="108" t="s">
        <v>189</v>
      </c>
      <c r="I6" s="70"/>
    </row>
    <row r="7" spans="1:9" ht="16.5" customHeight="1">
      <c r="A7" s="69"/>
      <c r="B7" s="85" t="s">
        <v>6</v>
      </c>
      <c r="C7" s="60" t="s">
        <v>7</v>
      </c>
      <c r="D7" s="5" t="s">
        <v>7</v>
      </c>
      <c r="E7" s="83"/>
      <c r="F7" s="86" t="s">
        <v>60</v>
      </c>
      <c r="G7" s="60" t="s">
        <v>7</v>
      </c>
      <c r="H7" s="172" t="s">
        <v>7</v>
      </c>
      <c r="I7" s="70"/>
    </row>
    <row r="8" spans="1:9" ht="15.75" customHeight="1">
      <c r="A8" s="69"/>
      <c r="B8" s="87" t="s">
        <v>8</v>
      </c>
      <c r="C8" s="110"/>
      <c r="D8" s="111"/>
      <c r="E8" s="112"/>
      <c r="F8" s="113" t="s">
        <v>9</v>
      </c>
      <c r="G8" s="114"/>
      <c r="H8" s="114"/>
      <c r="I8" s="70"/>
    </row>
    <row r="9" spans="1:9" ht="17.25" customHeight="1">
      <c r="A9" s="69"/>
      <c r="B9" s="88" t="s">
        <v>172</v>
      </c>
      <c r="C9" s="115">
        <f>2000+300</f>
        <v>2300</v>
      </c>
      <c r="D9" s="115">
        <f>ROUND(((6000+500)*1.5383),2)</f>
        <v>9998.95</v>
      </c>
      <c r="E9" s="112"/>
      <c r="F9" s="253" t="s">
        <v>89</v>
      </c>
      <c r="G9" s="114"/>
      <c r="H9" s="114"/>
      <c r="I9" s="70"/>
    </row>
    <row r="10" spans="1:9" ht="15.75" customHeight="1">
      <c r="A10" s="69"/>
      <c r="B10" s="88" t="s">
        <v>82</v>
      </c>
      <c r="C10" s="115">
        <v>0</v>
      </c>
      <c r="D10" s="115">
        <v>0</v>
      </c>
      <c r="E10" s="112"/>
      <c r="F10" s="116" t="s">
        <v>184</v>
      </c>
      <c r="G10" s="117">
        <f>8000-115.34</f>
        <v>7884.66</v>
      </c>
      <c r="H10" s="117">
        <f>ROUND(((38000-547.85)*1.5383),2)</f>
        <v>57612.64</v>
      </c>
      <c r="I10" s="70"/>
    </row>
    <row r="11" spans="1:9" ht="15.75" customHeight="1">
      <c r="A11" s="69"/>
      <c r="B11" s="88" t="s">
        <v>181</v>
      </c>
      <c r="C11" s="115">
        <f>7000-64.89</f>
        <v>6935.11</v>
      </c>
      <c r="D11" s="115">
        <f>ROUND(((27000-161.67)*1.5383),2)</f>
        <v>41285.4</v>
      </c>
      <c r="E11" s="112"/>
      <c r="F11" s="110" t="s">
        <v>88</v>
      </c>
      <c r="G11" s="117">
        <v>0</v>
      </c>
      <c r="H11" s="117">
        <v>0</v>
      </c>
      <c r="I11" s="70"/>
    </row>
    <row r="12" spans="1:9" ht="15.75" customHeight="1">
      <c r="A12" s="69"/>
      <c r="B12" s="88" t="s">
        <v>169</v>
      </c>
      <c r="C12" s="117">
        <v>0</v>
      </c>
      <c r="D12" s="115">
        <v>0</v>
      </c>
      <c r="E12" s="112"/>
      <c r="F12" s="116" t="s">
        <v>170</v>
      </c>
      <c r="G12" s="117">
        <v>0</v>
      </c>
      <c r="H12" s="117">
        <v>0</v>
      </c>
      <c r="I12" s="70"/>
    </row>
    <row r="13" spans="1:11" ht="15.75" customHeight="1">
      <c r="A13" s="69"/>
      <c r="B13" s="77" t="s">
        <v>182</v>
      </c>
      <c r="C13" s="115">
        <f>+'A.RTDOS'!C17</f>
        <v>133942.06</v>
      </c>
      <c r="D13" s="115">
        <f>+'A.RTDOS'!D17</f>
        <v>138447</v>
      </c>
      <c r="E13" s="112"/>
      <c r="F13" s="118" t="s">
        <v>166</v>
      </c>
      <c r="G13" s="117">
        <v>0</v>
      </c>
      <c r="H13" s="117">
        <v>0</v>
      </c>
      <c r="I13" s="70"/>
      <c r="K13" s="274">
        <f>+D13-'A.RTDOS'!C11</f>
        <v>0</v>
      </c>
    </row>
    <row r="14" spans="1:9" ht="15.75" customHeight="1">
      <c r="A14" s="69"/>
      <c r="B14" s="79" t="s">
        <v>10</v>
      </c>
      <c r="C14" s="115">
        <v>0</v>
      </c>
      <c r="D14" s="115">
        <v>0</v>
      </c>
      <c r="E14" s="112"/>
      <c r="F14" s="254" t="s">
        <v>90</v>
      </c>
      <c r="G14" s="117">
        <v>0</v>
      </c>
      <c r="H14" s="117">
        <v>0</v>
      </c>
      <c r="I14" s="70"/>
    </row>
    <row r="15" spans="1:9" ht="15.75" customHeight="1">
      <c r="A15" s="69"/>
      <c r="B15" s="79"/>
      <c r="C15" s="110">
        <v>0</v>
      </c>
      <c r="D15" s="110">
        <v>0</v>
      </c>
      <c r="E15" s="112"/>
      <c r="F15" s="110" t="s">
        <v>185</v>
      </c>
      <c r="G15" s="117">
        <v>30525</v>
      </c>
      <c r="H15" s="117">
        <f>+ROUND((20350*1.5383),2)</f>
        <v>31304.41</v>
      </c>
      <c r="I15" s="70"/>
    </row>
    <row r="16" spans="1:9" ht="15.75" customHeight="1">
      <c r="A16" s="69"/>
      <c r="B16" s="91" t="s">
        <v>12</v>
      </c>
      <c r="C16" s="119">
        <f>SUM(C9:C15)</f>
        <v>143177.16999999998</v>
      </c>
      <c r="D16" s="119">
        <f>SUM(D9:D15)</f>
        <v>189731.35</v>
      </c>
      <c r="E16" s="112"/>
      <c r="F16" s="110" t="s">
        <v>171</v>
      </c>
      <c r="G16" s="123">
        <v>0</v>
      </c>
      <c r="H16" s="123">
        <v>0</v>
      </c>
      <c r="I16" s="70"/>
    </row>
    <row r="17" spans="1:9" ht="15.75" customHeight="1">
      <c r="A17" s="69"/>
      <c r="B17" s="91"/>
      <c r="C17" s="110"/>
      <c r="D17" s="110"/>
      <c r="E17" s="112"/>
      <c r="F17" s="253" t="s">
        <v>91</v>
      </c>
      <c r="G17" s="171">
        <f>SUM(G10:G16)</f>
        <v>38409.66</v>
      </c>
      <c r="H17" s="171">
        <f>SUM(H10:H16)</f>
        <v>88917.05</v>
      </c>
      <c r="I17" s="70"/>
    </row>
    <row r="18" spans="1:12" ht="15.75" customHeight="1">
      <c r="A18" s="69"/>
      <c r="B18" s="79"/>
      <c r="C18" s="120"/>
      <c r="D18" s="110"/>
      <c r="E18" s="112"/>
      <c r="F18" s="116" t="s">
        <v>11</v>
      </c>
      <c r="G18" s="171">
        <v>0</v>
      </c>
      <c r="H18" s="171">
        <v>0</v>
      </c>
      <c r="I18" s="70"/>
      <c r="L18" s="94"/>
    </row>
    <row r="19" spans="1:12" ht="15.75" customHeight="1">
      <c r="A19" s="69"/>
      <c r="B19" s="87" t="s">
        <v>14</v>
      </c>
      <c r="C19" s="110"/>
      <c r="D19" s="111"/>
      <c r="E19" s="112"/>
      <c r="F19" s="113" t="s">
        <v>13</v>
      </c>
      <c r="G19" s="171">
        <f>G17+G18</f>
        <v>38409.66</v>
      </c>
      <c r="H19" s="171">
        <f>H17+H18</f>
        <v>88917.05</v>
      </c>
      <c r="I19" s="70"/>
      <c r="L19" s="94"/>
    </row>
    <row r="20" spans="1:9" ht="15.75" customHeight="1">
      <c r="A20" s="69"/>
      <c r="B20" s="88" t="s">
        <v>83</v>
      </c>
      <c r="C20" s="115">
        <v>0</v>
      </c>
      <c r="D20" s="115">
        <v>0</v>
      </c>
      <c r="E20" s="112"/>
      <c r="F20" s="90"/>
      <c r="G20" s="6"/>
      <c r="H20" s="6"/>
      <c r="I20" s="70"/>
    </row>
    <row r="21" spans="1:9" ht="15.75" customHeight="1">
      <c r="A21" s="69"/>
      <c r="B21" s="88" t="s">
        <v>80</v>
      </c>
      <c r="C21" s="115">
        <v>0</v>
      </c>
      <c r="D21" s="115">
        <v>0</v>
      </c>
      <c r="E21" s="112"/>
      <c r="F21" s="113" t="s">
        <v>15</v>
      </c>
      <c r="G21" s="110"/>
      <c r="H21" s="110"/>
      <c r="I21" s="70"/>
    </row>
    <row r="22" spans="1:9" ht="15.75" customHeight="1">
      <c r="A22" s="69"/>
      <c r="B22" s="77" t="s">
        <v>81</v>
      </c>
      <c r="C22" s="115">
        <v>0</v>
      </c>
      <c r="D22" s="115">
        <v>0</v>
      </c>
      <c r="E22" s="112"/>
      <c r="F22" s="253" t="s">
        <v>89</v>
      </c>
      <c r="G22" s="117">
        <v>0</v>
      </c>
      <c r="H22" s="115">
        <v>0</v>
      </c>
      <c r="I22" s="70"/>
    </row>
    <row r="23" spans="1:11" ht="15.75" customHeight="1">
      <c r="A23" s="69"/>
      <c r="B23" s="88" t="s">
        <v>183</v>
      </c>
      <c r="C23" s="115">
        <f>+'A.BS.USO'!O19</f>
        <v>479812.12</v>
      </c>
      <c r="D23" s="115">
        <f>ROUND(((374292.75)*1.5383),2)</f>
        <v>575774.54</v>
      </c>
      <c r="E23" s="112"/>
      <c r="F23" s="253" t="s">
        <v>91</v>
      </c>
      <c r="G23" s="171">
        <f>SUM(G22)</f>
        <v>0</v>
      </c>
      <c r="H23" s="171">
        <f>SUM(H22)</f>
        <v>0</v>
      </c>
      <c r="I23" s="70"/>
      <c r="K23" s="112"/>
    </row>
    <row r="24" spans="1:11" ht="15.75" customHeight="1">
      <c r="A24" s="69"/>
      <c r="B24" s="98" t="s">
        <v>84</v>
      </c>
      <c r="C24" s="115">
        <v>0</v>
      </c>
      <c r="D24" s="115">
        <v>0</v>
      </c>
      <c r="E24" s="112"/>
      <c r="F24" s="116" t="s">
        <v>11</v>
      </c>
      <c r="G24" s="171">
        <v>0</v>
      </c>
      <c r="H24" s="171">
        <v>0</v>
      </c>
      <c r="I24" s="70"/>
      <c r="K24" s="112"/>
    </row>
    <row r="25" spans="1:12" ht="15.75" customHeight="1">
      <c r="A25" s="69"/>
      <c r="B25" s="98" t="s">
        <v>85</v>
      </c>
      <c r="C25" s="115">
        <v>0</v>
      </c>
      <c r="D25" s="115">
        <v>0</v>
      </c>
      <c r="E25" s="112"/>
      <c r="F25" s="121" t="s">
        <v>64</v>
      </c>
      <c r="G25" s="171">
        <f>G23+G24</f>
        <v>0</v>
      </c>
      <c r="H25" s="171">
        <f>H23+H24</f>
        <v>0</v>
      </c>
      <c r="I25" s="70"/>
      <c r="K25" s="274"/>
      <c r="L25" s="274"/>
    </row>
    <row r="26" spans="1:9" ht="15.75" customHeight="1" thickBot="1">
      <c r="A26" s="69"/>
      <c r="B26" s="79" t="s">
        <v>86</v>
      </c>
      <c r="C26" s="115">
        <v>0</v>
      </c>
      <c r="D26" s="115">
        <v>0</v>
      </c>
      <c r="E26" s="112"/>
      <c r="F26" s="122" t="s">
        <v>16</v>
      </c>
      <c r="G26" s="170">
        <f>G19+G25</f>
        <v>38409.66</v>
      </c>
      <c r="H26" s="170">
        <f>H19+H25</f>
        <v>88917.05</v>
      </c>
      <c r="I26" s="70"/>
    </row>
    <row r="27" spans="1:9" ht="15.75" customHeight="1">
      <c r="A27" s="69"/>
      <c r="B27" s="79" t="s">
        <v>87</v>
      </c>
      <c r="C27" s="110">
        <v>0</v>
      </c>
      <c r="D27" s="115">
        <v>0</v>
      </c>
      <c r="E27" s="112"/>
      <c r="F27" s="90"/>
      <c r="G27" s="175"/>
      <c r="H27" s="173"/>
      <c r="I27" s="70"/>
    </row>
    <row r="28" spans="1:9" ht="15.75" customHeight="1">
      <c r="A28" s="69"/>
      <c r="B28" s="92" t="s">
        <v>17</v>
      </c>
      <c r="C28" s="124">
        <f>SUM(C20:C27)</f>
        <v>479812.12</v>
      </c>
      <c r="D28" s="124">
        <f>SUM(D20:D27)</f>
        <v>575774.54</v>
      </c>
      <c r="E28" s="112"/>
      <c r="F28" s="125" t="s">
        <v>18</v>
      </c>
      <c r="G28" s="126">
        <f>'E.E.P.N.'!N22</f>
        <v>584579.63</v>
      </c>
      <c r="H28" s="174">
        <f>+'E.E.P.N.'!N11</f>
        <v>676588.84</v>
      </c>
      <c r="I28" s="70"/>
    </row>
    <row r="29" spans="1:9" ht="15.75" customHeight="1" thickBot="1">
      <c r="A29" s="69"/>
      <c r="B29" s="93" t="s">
        <v>19</v>
      </c>
      <c r="C29" s="127">
        <f>C28+C16</f>
        <v>622989.29</v>
      </c>
      <c r="D29" s="127">
        <f>D28+D16</f>
        <v>765505.89</v>
      </c>
      <c r="E29" s="112"/>
      <c r="F29" s="128" t="s">
        <v>20</v>
      </c>
      <c r="G29" s="127">
        <f>G26+G28</f>
        <v>622989.29</v>
      </c>
      <c r="H29" s="176">
        <f>H26+H28</f>
        <v>765505.89</v>
      </c>
      <c r="I29" s="70"/>
    </row>
    <row r="30" spans="1:9" ht="15" customHeight="1">
      <c r="A30" s="69"/>
      <c r="C30" s="7"/>
      <c r="D30" s="7"/>
      <c r="H30" s="7"/>
      <c r="I30" s="70"/>
    </row>
    <row r="31" spans="1:9" ht="15" customHeight="1">
      <c r="A31" s="69"/>
      <c r="D31" s="274"/>
      <c r="E31" s="71"/>
      <c r="G31" s="274">
        <f>+C29-G29</f>
        <v>0</v>
      </c>
      <c r="I31" s="70"/>
    </row>
    <row r="32" spans="1:9" ht="15" customHeight="1">
      <c r="A32" s="69"/>
      <c r="C32" s="94"/>
      <c r="D32" s="274"/>
      <c r="E32" s="71"/>
      <c r="H32" s="274"/>
      <c r="I32" s="70"/>
    </row>
    <row r="33" spans="1:11" ht="15" customHeight="1">
      <c r="A33" s="69"/>
      <c r="C33" s="7"/>
      <c r="D33" s="274"/>
      <c r="E33" s="71"/>
      <c r="G33" s="274"/>
      <c r="H33" s="7"/>
      <c r="I33" s="70"/>
      <c r="K33" s="274"/>
    </row>
    <row r="34" spans="1:9" ht="15" customHeight="1">
      <c r="A34" s="69"/>
      <c r="B34" s="95" t="s">
        <v>61</v>
      </c>
      <c r="C34" s="66"/>
      <c r="D34" s="66"/>
      <c r="E34" s="96"/>
      <c r="F34" s="96"/>
      <c r="G34" s="66"/>
      <c r="H34" s="9"/>
      <c r="I34" s="70"/>
    </row>
    <row r="35" spans="1:9" ht="15" customHeight="1" thickBot="1">
      <c r="A35" s="74"/>
      <c r="B35" s="75"/>
      <c r="C35" s="10"/>
      <c r="D35" s="10"/>
      <c r="E35" s="75"/>
      <c r="F35" s="75"/>
      <c r="G35" s="10"/>
      <c r="H35" s="10"/>
      <c r="I35" s="100"/>
    </row>
    <row r="36" ht="15.75" customHeight="1" thickTop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2">
    <mergeCell ref="B1:H1"/>
    <mergeCell ref="B3:H3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zoomScale="80" zoomScaleNormal="80" zoomScalePageLayoutView="0" workbookViewId="0" topLeftCell="A13">
      <selection activeCell="D25" sqref="D25"/>
    </sheetView>
  </sheetViews>
  <sheetFormatPr defaultColWidth="11.421875" defaultRowHeight="12.75"/>
  <cols>
    <col min="1" max="1" width="57.00390625" style="280" customWidth="1"/>
    <col min="2" max="2" width="13.140625" style="279" customWidth="1"/>
    <col min="3" max="3" width="12.8515625" style="279" bestFit="1" customWidth="1"/>
    <col min="4" max="4" width="13.140625" style="279" customWidth="1"/>
    <col min="5" max="5" width="13.00390625" style="0" customWidth="1"/>
    <col min="6" max="7" width="12.7109375" style="0" customWidth="1"/>
    <col min="8" max="8" width="13.421875" style="0" customWidth="1"/>
    <col min="9" max="9" width="13.28125" style="0" customWidth="1"/>
    <col min="10" max="10" width="12.7109375" style="0" customWidth="1"/>
  </cols>
  <sheetData>
    <row r="1" spans="1:5" ht="24" customHeight="1" thickBot="1">
      <c r="A1" s="380" t="str">
        <f>+CARAT!B11</f>
        <v>EL REGRESO S.R.L.</v>
      </c>
      <c r="B1" s="381"/>
      <c r="C1" s="381"/>
      <c r="D1" s="381"/>
      <c r="E1" s="382"/>
    </row>
    <row r="2" spans="1:5" ht="18.75" thickBot="1">
      <c r="A2" s="282" t="s">
        <v>116</v>
      </c>
      <c r="B2" s="283"/>
      <c r="C2" s="283"/>
      <c r="D2" s="283"/>
      <c r="E2" s="284"/>
    </row>
    <row r="3" spans="1:5" ht="15.75" thickBot="1">
      <c r="A3" s="285" t="str">
        <f>+'A.RTDOS'!B5</f>
        <v>Por el ejercicio finalizado el 31/12/2019</v>
      </c>
      <c r="B3" s="286"/>
      <c r="C3" s="286"/>
      <c r="D3" s="286"/>
      <c r="E3" s="287"/>
    </row>
    <row r="4" spans="1:5" ht="13.5" thickBot="1">
      <c r="A4" s="335" t="str">
        <f>+'A.RTDOS'!B6</f>
        <v>COMPARATIVO CON EL EJERCICIO ANTERIOR EN MONEDA DE PODER ADQUISITIVO DE CIERRE.</v>
      </c>
      <c r="B4" s="286"/>
      <c r="C4" s="286"/>
      <c r="D4" s="445" t="s">
        <v>117</v>
      </c>
      <c r="E4" s="446"/>
    </row>
    <row r="5" spans="1:5" ht="12.75">
      <c r="A5" s="288" t="s">
        <v>118</v>
      </c>
      <c r="B5" s="286"/>
      <c r="C5" s="286"/>
      <c r="D5" s="447" t="s">
        <v>119</v>
      </c>
      <c r="E5" s="447" t="s">
        <v>199</v>
      </c>
    </row>
    <row r="6" spans="1:5" ht="13.5" thickBot="1">
      <c r="A6" s="289"/>
      <c r="B6" s="286"/>
      <c r="C6" s="286"/>
      <c r="D6" s="448"/>
      <c r="E6" s="448"/>
    </row>
    <row r="7" spans="1:5" ht="12.75">
      <c r="A7" s="449" t="s">
        <v>120</v>
      </c>
      <c r="B7" s="450"/>
      <c r="C7" s="451"/>
      <c r="D7" s="293">
        <f>+'E.S.P.'!D9</f>
        <v>9998.95</v>
      </c>
      <c r="E7" s="294">
        <f>+ROUND((6644.25*1.5383),2)</f>
        <v>10220.85</v>
      </c>
    </row>
    <row r="8" spans="1:5" ht="13.5" thickBot="1">
      <c r="A8" s="449" t="s">
        <v>121</v>
      </c>
      <c r="B8" s="450"/>
      <c r="C8" s="451"/>
      <c r="D8" s="295">
        <v>0</v>
      </c>
      <c r="E8" s="296">
        <v>0</v>
      </c>
    </row>
    <row r="9" spans="1:5" ht="12.75">
      <c r="A9" s="449" t="s">
        <v>122</v>
      </c>
      <c r="B9" s="450"/>
      <c r="C9" s="451"/>
      <c r="D9" s="293">
        <f>SUM(D7:D8)</f>
        <v>9998.95</v>
      </c>
      <c r="E9" s="297">
        <f>SUM(E7:E8)</f>
        <v>10220.85</v>
      </c>
    </row>
    <row r="10" spans="1:7" ht="13.5" thickBot="1">
      <c r="A10" s="449" t="s">
        <v>186</v>
      </c>
      <c r="B10" s="450"/>
      <c r="C10" s="451"/>
      <c r="D10" s="298">
        <f>+'E.S.P.'!C9</f>
        <v>2300</v>
      </c>
      <c r="E10" s="299">
        <f>+ROUND((6500*1.5383),2)</f>
        <v>9998.95</v>
      </c>
      <c r="F10" s="281"/>
      <c r="G10" s="281"/>
    </row>
    <row r="11" spans="1:5" s="301" customFormat="1" ht="13.5" thickBot="1">
      <c r="A11" s="452" t="s">
        <v>123</v>
      </c>
      <c r="B11" s="453"/>
      <c r="C11" s="454"/>
      <c r="D11" s="300">
        <f>D10-D9</f>
        <v>-7698.950000000001</v>
      </c>
      <c r="E11" s="300">
        <f>E10-E9</f>
        <v>-221.89999999999964</v>
      </c>
    </row>
    <row r="12" spans="1:5" ht="12.75">
      <c r="A12" s="452" t="s">
        <v>124</v>
      </c>
      <c r="B12" s="453"/>
      <c r="C12" s="454"/>
      <c r="D12" s="293"/>
      <c r="E12" s="294"/>
    </row>
    <row r="13" spans="1:5" ht="12.75">
      <c r="A13" s="452" t="s">
        <v>125</v>
      </c>
      <c r="B13" s="453"/>
      <c r="C13" s="454"/>
      <c r="D13" s="302"/>
      <c r="E13" s="303"/>
    </row>
    <row r="14" spans="1:5" ht="12.75">
      <c r="A14" s="449" t="s">
        <v>126</v>
      </c>
      <c r="B14" s="450"/>
      <c r="C14" s="451"/>
      <c r="D14" s="304">
        <f>+'E.RESUL'!C23</f>
        <v>-78472.38999999998</v>
      </c>
      <c r="E14" s="303">
        <f>+'E.RESUL'!D23</f>
        <v>-76754.42000000001</v>
      </c>
    </row>
    <row r="15" spans="1:8" ht="26.25" customHeight="1">
      <c r="A15" s="455" t="s">
        <v>127</v>
      </c>
      <c r="B15" s="456"/>
      <c r="C15" s="457"/>
      <c r="D15" s="304">
        <v>0</v>
      </c>
      <c r="E15" s="303">
        <v>0</v>
      </c>
      <c r="G15" s="333"/>
      <c r="H15" s="333"/>
    </row>
    <row r="16" spans="1:5" ht="12.75">
      <c r="A16" s="452" t="s">
        <v>128</v>
      </c>
      <c r="B16" s="453"/>
      <c r="C16" s="454"/>
      <c r="D16" s="304"/>
      <c r="E16" s="303"/>
    </row>
    <row r="17" spans="1:5" ht="12.75">
      <c r="A17" s="449" t="s">
        <v>129</v>
      </c>
      <c r="B17" s="450"/>
      <c r="C17" s="451"/>
      <c r="D17" s="304">
        <f>+'A.BS.USO'!M19</f>
        <v>95962.42</v>
      </c>
      <c r="E17" s="303">
        <f>+ROUND((62382.13*1.5383),2)</f>
        <v>95962.43</v>
      </c>
    </row>
    <row r="18" spans="1:5" ht="12.75">
      <c r="A18" s="449" t="s">
        <v>130</v>
      </c>
      <c r="B18" s="450"/>
      <c r="C18" s="451"/>
      <c r="D18" s="304"/>
      <c r="E18" s="303"/>
    </row>
    <row r="19" spans="1:5" ht="12.75">
      <c r="A19" s="449" t="s">
        <v>131</v>
      </c>
      <c r="B19" s="450"/>
      <c r="C19" s="451"/>
      <c r="D19" s="304"/>
      <c r="E19" s="303"/>
    </row>
    <row r="20" spans="1:5" ht="12.75">
      <c r="A20" s="449" t="s">
        <v>132</v>
      </c>
      <c r="B20" s="450"/>
      <c r="C20" s="451"/>
      <c r="D20" s="304"/>
      <c r="E20" s="303"/>
    </row>
    <row r="21" spans="1:5" ht="12.75">
      <c r="A21" s="449" t="s">
        <v>133</v>
      </c>
      <c r="B21" s="450"/>
      <c r="C21" s="451"/>
      <c r="D21" s="304"/>
      <c r="E21" s="303"/>
    </row>
    <row r="22" spans="1:5" ht="12.75">
      <c r="A22" s="449" t="s">
        <v>134</v>
      </c>
      <c r="B22" s="450"/>
      <c r="C22" s="451"/>
      <c r="D22" s="304"/>
      <c r="E22" s="303"/>
    </row>
    <row r="23" spans="1:7" ht="12.75">
      <c r="A23" s="449" t="s">
        <v>135</v>
      </c>
      <c r="B23" s="450"/>
      <c r="C23" s="451"/>
      <c r="D23" s="304">
        <f>+'E.S.P.'!D11-'E.S.P.'!C11</f>
        <v>34350.29</v>
      </c>
      <c r="E23" s="303">
        <f>+ROUND((2691.67*1.5383),2)</f>
        <v>4140.6</v>
      </c>
      <c r="G23" s="281"/>
    </row>
    <row r="24" spans="1:5" ht="12.75">
      <c r="A24" s="449" t="s">
        <v>136</v>
      </c>
      <c r="B24" s="450"/>
      <c r="C24" s="451"/>
      <c r="D24" s="304">
        <f>+'E.S.P.'!D12-'E.S.P.'!C12</f>
        <v>0</v>
      </c>
      <c r="E24" s="303">
        <v>0</v>
      </c>
    </row>
    <row r="25" spans="1:7" ht="12.75">
      <c r="A25" s="449" t="s">
        <v>137</v>
      </c>
      <c r="B25" s="450"/>
      <c r="C25" s="451"/>
      <c r="D25" s="304">
        <f>+'E.S.P.'!D13-'E.S.P.'!C13</f>
        <v>4504.940000000002</v>
      </c>
      <c r="E25" s="303">
        <f>+ROUND((5972.5*1.5383),2)</f>
        <v>9187.5</v>
      </c>
      <c r="G25" s="281"/>
    </row>
    <row r="26" spans="1:17" ht="13.5" customHeight="1">
      <c r="A26" s="449" t="s">
        <v>138</v>
      </c>
      <c r="B26" s="450"/>
      <c r="C26" s="451"/>
      <c r="D26" s="304">
        <f>-'E.S.P.'!H12+'E.S.P.'!G12-'E.S.P.'!H13+'E.S.P.'!G13-'E.S.P.'!H15+'E.S.P.'!G15</f>
        <v>-779.4099999999999</v>
      </c>
      <c r="E26" s="303">
        <f>+ROUND((20350*1.5383),2)</f>
        <v>31304.41</v>
      </c>
      <c r="F26" s="306"/>
      <c r="G26" s="306"/>
      <c r="H26" s="458"/>
      <c r="I26" s="458"/>
      <c r="J26" s="458"/>
      <c r="K26" s="458"/>
      <c r="L26" s="458"/>
      <c r="M26" s="458"/>
      <c r="N26" s="458"/>
      <c r="O26" s="458"/>
      <c r="P26" s="458"/>
      <c r="Q26" s="458"/>
    </row>
    <row r="27" spans="1:17" ht="12.75" customHeight="1">
      <c r="A27" s="449" t="s">
        <v>139</v>
      </c>
      <c r="B27" s="450"/>
      <c r="C27" s="451"/>
      <c r="D27" s="304">
        <f>-'E.S.P.'!H10+'E.S.P.'!G10</f>
        <v>-49727.979999999996</v>
      </c>
      <c r="E27" s="303">
        <f>-ROUND((14225.35*1.5383),2)</f>
        <v>-21882.86</v>
      </c>
      <c r="F27" s="306"/>
      <c r="G27" s="332"/>
      <c r="H27" s="458"/>
      <c r="I27" s="458"/>
      <c r="J27" s="458"/>
      <c r="K27" s="458"/>
      <c r="L27" s="458"/>
      <c r="M27" s="458"/>
      <c r="N27" s="458"/>
      <c r="O27" s="458"/>
      <c r="P27" s="307"/>
      <c r="Q27" s="307"/>
    </row>
    <row r="28" spans="1:17" ht="13.5" customHeight="1">
      <c r="A28" s="449" t="s">
        <v>157</v>
      </c>
      <c r="B28" s="450"/>
      <c r="C28" s="451"/>
      <c r="D28" s="304"/>
      <c r="E28" s="303"/>
      <c r="F28" s="306"/>
      <c r="G28" s="306"/>
      <c r="H28" s="458"/>
      <c r="I28" s="458"/>
      <c r="J28" s="458"/>
      <c r="K28" s="458"/>
      <c r="L28" s="458"/>
      <c r="M28" s="458"/>
      <c r="N28" s="458"/>
      <c r="O28" s="458"/>
      <c r="P28" s="458"/>
      <c r="Q28" s="458"/>
    </row>
    <row r="29" spans="1:17" ht="12.75">
      <c r="A29" s="449" t="s">
        <v>158</v>
      </c>
      <c r="B29" s="450"/>
      <c r="C29" s="451"/>
      <c r="D29" s="304"/>
      <c r="E29" s="303"/>
      <c r="H29" s="307"/>
      <c r="I29" s="307"/>
      <c r="J29" s="307"/>
      <c r="K29" s="307"/>
      <c r="L29" s="307"/>
      <c r="M29" s="307"/>
      <c r="N29" s="307"/>
      <c r="O29" s="307"/>
      <c r="P29" s="307"/>
      <c r="Q29" s="307"/>
    </row>
    <row r="30" spans="1:17" ht="12.75">
      <c r="A30" s="449" t="s">
        <v>159</v>
      </c>
      <c r="B30" s="450"/>
      <c r="C30" s="451"/>
      <c r="D30" s="304"/>
      <c r="E30" s="303"/>
      <c r="H30" s="307"/>
      <c r="I30" s="307"/>
      <c r="J30" s="307"/>
      <c r="K30" s="307"/>
      <c r="L30" s="307"/>
      <c r="M30" s="307"/>
      <c r="N30" s="307"/>
      <c r="O30" s="307"/>
      <c r="P30" s="307"/>
      <c r="Q30" s="307"/>
    </row>
    <row r="31" spans="1:17" ht="12.75">
      <c r="A31" s="449" t="s">
        <v>160</v>
      </c>
      <c r="B31" s="450"/>
      <c r="C31" s="451"/>
      <c r="D31" s="304">
        <f>'E.E.P.N.'!L18</f>
        <v>-13536.82</v>
      </c>
      <c r="E31" s="303">
        <f>-ROUND((27419.59*1.5383),2)</f>
        <v>-42179.56</v>
      </c>
      <c r="H31" s="307"/>
      <c r="I31" s="307"/>
      <c r="J31" s="307"/>
      <c r="K31" s="307"/>
      <c r="L31" s="307"/>
      <c r="M31" s="307"/>
      <c r="N31" s="307"/>
      <c r="O31" s="307"/>
      <c r="P31" s="307"/>
      <c r="Q31" s="307"/>
    </row>
    <row r="32" spans="1:7" ht="13.5" thickBot="1">
      <c r="A32" s="449" t="s">
        <v>161</v>
      </c>
      <c r="B32" s="450"/>
      <c r="C32" s="451"/>
      <c r="D32" s="308"/>
      <c r="E32" s="299"/>
      <c r="F32" s="309"/>
      <c r="G32" s="309"/>
    </row>
    <row r="33" spans="1:5" ht="13.5" thickBot="1">
      <c r="A33" s="452" t="s">
        <v>140</v>
      </c>
      <c r="B33" s="453"/>
      <c r="C33" s="454"/>
      <c r="D33" s="310">
        <f>SUM(D14:D32)</f>
        <v>-7698.949999999975</v>
      </c>
      <c r="E33" s="311">
        <f>SUM(E14:E32)</f>
        <v>-221.90000000002328</v>
      </c>
    </row>
    <row r="34" spans="1:5" ht="12.75">
      <c r="A34" s="449"/>
      <c r="B34" s="450"/>
      <c r="C34" s="451"/>
      <c r="D34" s="312"/>
      <c r="E34" s="294"/>
    </row>
    <row r="35" spans="1:5" ht="12.75">
      <c r="A35" s="449" t="s">
        <v>141</v>
      </c>
      <c r="B35" s="450"/>
      <c r="C35" s="451"/>
      <c r="D35" s="304">
        <v>0</v>
      </c>
      <c r="E35" s="303">
        <v>0</v>
      </c>
    </row>
    <row r="36" spans="1:7" ht="12.75">
      <c r="A36" s="449" t="s">
        <v>142</v>
      </c>
      <c r="B36" s="450"/>
      <c r="C36" s="451"/>
      <c r="D36" s="304"/>
      <c r="E36" s="303"/>
      <c r="F36" s="281"/>
      <c r="G36" s="281"/>
    </row>
    <row r="37" spans="1:5" ht="12.75">
      <c r="A37" s="449" t="s">
        <v>143</v>
      </c>
      <c r="B37" s="450"/>
      <c r="C37" s="451"/>
      <c r="D37" s="304"/>
      <c r="E37" s="303"/>
    </row>
    <row r="38" spans="1:5" ht="12.75">
      <c r="A38" s="449" t="s">
        <v>144</v>
      </c>
      <c r="B38" s="450"/>
      <c r="C38" s="451"/>
      <c r="D38" s="304"/>
      <c r="E38" s="303"/>
    </row>
    <row r="39" spans="1:5" ht="13.5" thickBot="1">
      <c r="A39" s="449" t="s">
        <v>145</v>
      </c>
      <c r="B39" s="450"/>
      <c r="C39" s="451"/>
      <c r="D39" s="308"/>
      <c r="E39" s="299"/>
    </row>
    <row r="40" spans="1:5" ht="13.5" thickBot="1">
      <c r="A40" s="452" t="s">
        <v>162</v>
      </c>
      <c r="B40" s="453"/>
      <c r="C40" s="454"/>
      <c r="D40" s="313">
        <f>SUM(D35:D39)</f>
        <v>0</v>
      </c>
      <c r="E40" s="314"/>
    </row>
    <row r="41" spans="1:5" ht="13.5" thickBot="1">
      <c r="A41" s="452" t="s">
        <v>146</v>
      </c>
      <c r="B41" s="453"/>
      <c r="C41" s="454"/>
      <c r="D41" s="311">
        <f>+D33+D40</f>
        <v>-7698.949999999975</v>
      </c>
      <c r="E41" s="311">
        <f>+E33+E40</f>
        <v>-221.90000000002328</v>
      </c>
    </row>
    <row r="42" spans="1:5" ht="12.75">
      <c r="A42" s="449" t="s">
        <v>163</v>
      </c>
      <c r="B42" s="450"/>
      <c r="C42" s="451"/>
      <c r="D42" s="312"/>
      <c r="E42" s="294"/>
    </row>
    <row r="43" spans="1:5" ht="12.75">
      <c r="A43" s="449" t="s">
        <v>147</v>
      </c>
      <c r="B43" s="450"/>
      <c r="C43" s="451"/>
      <c r="D43" s="304"/>
      <c r="E43" s="303"/>
    </row>
    <row r="44" spans="1:5" ht="12.75">
      <c r="A44" s="449" t="s">
        <v>148</v>
      </c>
      <c r="B44" s="450"/>
      <c r="C44" s="451"/>
      <c r="D44" s="304">
        <f>-'A.BS.USO'!D19</f>
        <v>0</v>
      </c>
      <c r="E44" s="303">
        <v>0</v>
      </c>
    </row>
    <row r="45" spans="1:5" ht="12.75">
      <c r="A45" s="449" t="s">
        <v>149</v>
      </c>
      <c r="B45" s="450"/>
      <c r="C45" s="451"/>
      <c r="D45" s="304"/>
      <c r="E45" s="303"/>
    </row>
    <row r="46" spans="1:5" ht="13.5" thickBot="1">
      <c r="A46" s="449" t="s">
        <v>150</v>
      </c>
      <c r="B46" s="450"/>
      <c r="C46" s="451"/>
      <c r="D46" s="308"/>
      <c r="E46" s="299"/>
    </row>
    <row r="47" spans="1:5" ht="13.5" thickBot="1">
      <c r="A47" s="452" t="s">
        <v>151</v>
      </c>
      <c r="B47" s="453"/>
      <c r="C47" s="454"/>
      <c r="D47" s="311">
        <f>SUM(D43:D46)</f>
        <v>0</v>
      </c>
      <c r="E47" s="311">
        <f>SUM(E43:E46)</f>
        <v>0</v>
      </c>
    </row>
    <row r="48" spans="1:5" ht="12.75">
      <c r="A48" s="449" t="s">
        <v>164</v>
      </c>
      <c r="B48" s="450"/>
      <c r="C48" s="451"/>
      <c r="D48" s="312"/>
      <c r="E48" s="294"/>
    </row>
    <row r="49" spans="1:5" ht="12.75">
      <c r="A49" s="449" t="s">
        <v>152</v>
      </c>
      <c r="B49" s="450"/>
      <c r="C49" s="451"/>
      <c r="D49" s="304"/>
      <c r="E49" s="303"/>
    </row>
    <row r="50" spans="1:5" ht="12.75">
      <c r="A50" s="290" t="s">
        <v>153</v>
      </c>
      <c r="B50" s="291"/>
      <c r="C50" s="292"/>
      <c r="D50" s="304">
        <v>0</v>
      </c>
      <c r="E50" s="303">
        <v>0</v>
      </c>
    </row>
    <row r="51" spans="1:5" ht="12.75">
      <c r="A51" s="449" t="s">
        <v>154</v>
      </c>
      <c r="B51" s="450"/>
      <c r="C51" s="451"/>
      <c r="D51" s="304">
        <f>+'E.E.P.N.'!C14</f>
        <v>0</v>
      </c>
      <c r="E51" s="303"/>
    </row>
    <row r="52" spans="1:5" ht="13.5" thickBot="1">
      <c r="A52" s="449" t="s">
        <v>155</v>
      </c>
      <c r="B52" s="450"/>
      <c r="C52" s="451"/>
      <c r="D52" s="308"/>
      <c r="E52" s="299"/>
    </row>
    <row r="53" spans="1:5" ht="13.5" thickBot="1">
      <c r="A53" s="452" t="s">
        <v>156</v>
      </c>
      <c r="B53" s="453"/>
      <c r="C53" s="454"/>
      <c r="D53" s="311">
        <f>SUM(D49:D52)</f>
        <v>0</v>
      </c>
      <c r="E53" s="315">
        <v>0</v>
      </c>
    </row>
    <row r="54" spans="1:5" ht="18.75" thickBot="1">
      <c r="A54" s="452" t="s">
        <v>165</v>
      </c>
      <c r="B54" s="453"/>
      <c r="C54" s="454"/>
      <c r="D54" s="311">
        <f>D41+D47+D53</f>
        <v>-7698.949999999975</v>
      </c>
      <c r="E54" s="311">
        <f>E41+E47+E53</f>
        <v>-221.90000000002328</v>
      </c>
    </row>
    <row r="55" spans="1:5" ht="12.75">
      <c r="A55" s="290"/>
      <c r="B55" s="316"/>
      <c r="C55" s="316"/>
      <c r="D55" s="316"/>
      <c r="E55" s="317"/>
    </row>
    <row r="56" spans="1:5" ht="12.75">
      <c r="A56" s="318"/>
      <c r="B56" s="316"/>
      <c r="C56" s="316"/>
      <c r="D56" s="316"/>
      <c r="E56" s="317"/>
    </row>
    <row r="57" spans="1:5" ht="12.75">
      <c r="A57" s="462"/>
      <c r="B57" s="463"/>
      <c r="C57" s="463"/>
      <c r="D57" s="463"/>
      <c r="E57" s="317"/>
    </row>
    <row r="58" spans="1:5" ht="12.75">
      <c r="A58" s="319"/>
      <c r="B58" s="320"/>
      <c r="C58" s="320"/>
      <c r="D58" s="320"/>
      <c r="E58" s="317"/>
    </row>
    <row r="59" spans="1:5" ht="12.75">
      <c r="A59" s="318"/>
      <c r="B59" s="316"/>
      <c r="C59" s="316"/>
      <c r="D59" s="316"/>
      <c r="E59" s="317"/>
    </row>
    <row r="60" spans="1:5" ht="12.75">
      <c r="A60" s="318"/>
      <c r="B60" s="316"/>
      <c r="C60" s="316"/>
      <c r="D60" s="316"/>
      <c r="E60" s="317"/>
    </row>
    <row r="61" spans="1:5" ht="13.5" thickBot="1">
      <c r="A61" s="318"/>
      <c r="B61" s="316"/>
      <c r="C61" s="316"/>
      <c r="D61" s="316"/>
      <c r="E61" s="317"/>
    </row>
    <row r="62" spans="1:5" ht="13.5" thickBot="1">
      <c r="A62" s="459" t="s">
        <v>61</v>
      </c>
      <c r="B62" s="460"/>
      <c r="C62" s="460"/>
      <c r="D62" s="461"/>
      <c r="E62" s="317"/>
    </row>
    <row r="63" spans="1:5" ht="13.5" thickBot="1">
      <c r="A63" s="321"/>
      <c r="B63" s="322"/>
      <c r="C63" s="322"/>
      <c r="D63" s="322"/>
      <c r="E63" s="323"/>
    </row>
    <row r="64" spans="1:5" ht="12.75">
      <c r="A64" s="324"/>
      <c r="B64" s="305"/>
      <c r="C64" s="305"/>
      <c r="D64" s="305"/>
      <c r="E64" s="325"/>
    </row>
    <row r="65" spans="2:4" ht="12.75">
      <c r="B65" s="326"/>
      <c r="C65" s="326"/>
      <c r="D65" s="326"/>
    </row>
    <row r="66" spans="2:4" ht="12.75">
      <c r="B66" s="327"/>
      <c r="C66" s="327"/>
      <c r="D66" s="327"/>
    </row>
    <row r="67" spans="2:4" ht="12.75">
      <c r="B67" s="327"/>
      <c r="C67" s="327"/>
      <c r="D67" s="327"/>
    </row>
    <row r="68" spans="2:4" ht="12.75">
      <c r="B68" s="327"/>
      <c r="C68" s="327"/>
      <c r="D68" s="327"/>
    </row>
    <row r="69" spans="2:4" ht="12.75">
      <c r="B69" s="327"/>
      <c r="C69" s="327"/>
      <c r="D69" s="327"/>
    </row>
    <row r="70" spans="2:4" ht="12.75">
      <c r="B70" s="327"/>
      <c r="C70" s="327"/>
      <c r="D70" s="327"/>
    </row>
    <row r="71" spans="2:4" ht="12.75">
      <c r="B71" s="327"/>
      <c r="C71" s="327"/>
      <c r="D71" s="327"/>
    </row>
    <row r="72" spans="2:4" ht="12.75">
      <c r="B72" s="327"/>
      <c r="C72" s="327"/>
      <c r="D72" s="327"/>
    </row>
    <row r="73" spans="2:4" ht="12.75">
      <c r="B73" s="327"/>
      <c r="C73" s="327"/>
      <c r="D73" s="327"/>
    </row>
    <row r="74" spans="2:4" ht="12.75">
      <c r="B74" s="327"/>
      <c r="C74" s="327"/>
      <c r="D74" s="327"/>
    </row>
    <row r="75" spans="2:4" ht="12.75">
      <c r="B75" s="327"/>
      <c r="C75" s="327"/>
      <c r="D75" s="327"/>
    </row>
    <row r="76" spans="2:4" ht="12.75">
      <c r="B76" s="327"/>
      <c r="C76" s="327"/>
      <c r="D76" s="327"/>
    </row>
    <row r="77" spans="2:4" ht="12.75">
      <c r="B77" s="327"/>
      <c r="C77" s="327"/>
      <c r="D77" s="327"/>
    </row>
    <row r="78" spans="2:4" ht="12.75">
      <c r="B78" s="327"/>
      <c r="C78" s="327"/>
      <c r="D78" s="327"/>
    </row>
    <row r="79" spans="2:4" ht="12.75">
      <c r="B79" s="327"/>
      <c r="C79" s="327"/>
      <c r="D79" s="327"/>
    </row>
  </sheetData>
  <sheetProtection/>
  <mergeCells count="56">
    <mergeCell ref="A48:C48"/>
    <mergeCell ref="A49:C49"/>
    <mergeCell ref="A51:C51"/>
    <mergeCell ref="A62:D62"/>
    <mergeCell ref="A52:C52"/>
    <mergeCell ref="A53:C53"/>
    <mergeCell ref="A54:C54"/>
    <mergeCell ref="A57:D57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H26:Q26"/>
    <mergeCell ref="A27:C27"/>
    <mergeCell ref="H27:O27"/>
    <mergeCell ref="A28:C28"/>
    <mergeCell ref="H28:Q28"/>
    <mergeCell ref="A29:C29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E1"/>
    <mergeCell ref="D4:E4"/>
    <mergeCell ref="D5:D6"/>
    <mergeCell ref="E5:E6"/>
    <mergeCell ref="A7:C7"/>
    <mergeCell ref="A8:C8"/>
  </mergeCells>
  <printOptions/>
  <pageMargins left="0.75" right="0.75" top="1" bottom="1" header="0" footer="0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MOD. PRESENT. R.T.9</dc:title>
  <dc:subject/>
  <dc:creator>Area Computación - Dpto. de Cs</dc:creator>
  <cp:keywords/>
  <dc:description/>
  <cp:lastModifiedBy>Usuario</cp:lastModifiedBy>
  <cp:lastPrinted>2020-03-07T12:27:51Z</cp:lastPrinted>
  <dcterms:created xsi:type="dcterms:W3CDTF">1998-11-24T23:08:40Z</dcterms:created>
  <dcterms:modified xsi:type="dcterms:W3CDTF">2020-03-23T18:54:31Z</dcterms:modified>
  <cp:category/>
  <cp:version/>
  <cp:contentType/>
  <cp:contentStatus/>
</cp:coreProperties>
</file>